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erhougstraete\Desktop\"/>
    </mc:Choice>
  </mc:AlternateContent>
  <bookViews>
    <workbookView xWindow="0" yWindow="0" windowWidth="9075" windowHeight="900"/>
  </bookViews>
  <sheets>
    <sheet name="POU devices" sheetId="2" r:id="rId1"/>
    <sheet name="Inflation-Adjusted Discounted " sheetId="9" r:id="rId2"/>
    <sheet name="Lead removal" sheetId="3" r:id="rId3"/>
    <sheet name="IQ costs" sheetId="4" r:id="rId4"/>
    <sheet name="IQ loss" sheetId="7" r:id="rId5"/>
    <sheet name="Lead CB" sheetId="1" r:id="rId6"/>
    <sheet name="Flint" sheetId="8" r:id="rId7"/>
  </sheets>
  <externalReferences>
    <externalReference r:id="rId8"/>
  </externalReferences>
  <definedNames>
    <definedName name="_xlnm.Print_Area" localSheetId="5">'Lead CB'!$A$1:$M$20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D2" i="2"/>
  <c r="D3" i="2"/>
  <c r="D4" i="2"/>
  <c r="B10" i="8"/>
  <c r="B8" i="8"/>
  <c r="B4" i="7"/>
  <c r="B5" i="8"/>
  <c r="A5" i="2"/>
  <c r="A5" i="1"/>
  <c r="A12" i="1"/>
  <c r="A4" i="2"/>
  <c r="A4" i="1"/>
  <c r="A11" i="1"/>
  <c r="A3" i="2"/>
  <c r="A3" i="1"/>
  <c r="A10" i="1"/>
  <c r="A2" i="2"/>
  <c r="A2" i="1"/>
  <c r="A9" i="1"/>
  <c r="B3" i="1"/>
  <c r="B18" i="2"/>
  <c r="C4" i="2"/>
  <c r="B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BE4" i="9"/>
  <c r="BF4" i="9"/>
  <c r="BG4" i="9"/>
  <c r="BH4" i="9"/>
  <c r="BI4" i="9"/>
  <c r="BJ4" i="9"/>
  <c r="BK4" i="9"/>
  <c r="BL4" i="9"/>
  <c r="BM4" i="9"/>
  <c r="BN4" i="9"/>
  <c r="BO4" i="9"/>
  <c r="BP4" i="9"/>
  <c r="BQ4" i="9"/>
  <c r="BR4" i="9"/>
  <c r="BS4" i="9"/>
  <c r="C4" i="9"/>
  <c r="D4" i="9"/>
  <c r="E4" i="9"/>
  <c r="F4" i="9"/>
  <c r="C5" i="9"/>
  <c r="C6" i="9"/>
  <c r="C7" i="9"/>
  <c r="D5" i="9"/>
  <c r="D6" i="9"/>
  <c r="D7" i="9"/>
  <c r="B12" i="8"/>
  <c r="J2" i="1"/>
  <c r="J16" i="1"/>
  <c r="K2" i="1"/>
  <c r="K16" i="1"/>
  <c r="L2" i="1"/>
  <c r="L16" i="1"/>
  <c r="J3" i="1"/>
  <c r="J17" i="1"/>
  <c r="K3" i="1"/>
  <c r="K17" i="1"/>
  <c r="C15" i="9"/>
  <c r="C16" i="9"/>
  <c r="D15" i="9"/>
  <c r="D16" i="9"/>
  <c r="E15" i="9"/>
  <c r="E16" i="9"/>
  <c r="F15" i="9"/>
  <c r="F16" i="9"/>
  <c r="G15" i="9"/>
  <c r="G16" i="9"/>
  <c r="H15" i="9"/>
  <c r="H16" i="9"/>
  <c r="I15" i="9"/>
  <c r="I16" i="9"/>
  <c r="J15" i="9"/>
  <c r="J16" i="9"/>
  <c r="K15" i="9"/>
  <c r="K16" i="9"/>
  <c r="L15" i="9"/>
  <c r="L16" i="9"/>
  <c r="M15" i="9"/>
  <c r="M16" i="9"/>
  <c r="N15" i="9"/>
  <c r="N16" i="9"/>
  <c r="O15" i="9"/>
  <c r="O16" i="9"/>
  <c r="P15" i="9"/>
  <c r="P16" i="9"/>
  <c r="Q15" i="9"/>
  <c r="Q16" i="9"/>
  <c r="R15" i="9"/>
  <c r="R16" i="9"/>
  <c r="S15" i="9"/>
  <c r="S16" i="9"/>
  <c r="T15" i="9"/>
  <c r="T16" i="9"/>
  <c r="U15" i="9"/>
  <c r="U16" i="9"/>
  <c r="V15" i="9"/>
  <c r="V16" i="9"/>
  <c r="W15" i="9"/>
  <c r="W16" i="9"/>
  <c r="X15" i="9"/>
  <c r="X16" i="9"/>
  <c r="Y15" i="9"/>
  <c r="Y16" i="9"/>
  <c r="Z15" i="9"/>
  <c r="Z16" i="9"/>
  <c r="AA15" i="9"/>
  <c r="AA16" i="9"/>
  <c r="AB15" i="9"/>
  <c r="AB16" i="9"/>
  <c r="AC15" i="9"/>
  <c r="AC16" i="9"/>
  <c r="AD15" i="9"/>
  <c r="AD16" i="9"/>
  <c r="AE15" i="9"/>
  <c r="AE16" i="9"/>
  <c r="AF15" i="9"/>
  <c r="AF16" i="9"/>
  <c r="AG15" i="9"/>
  <c r="AG16" i="9"/>
  <c r="AH15" i="9"/>
  <c r="AH16" i="9"/>
  <c r="AI15" i="9"/>
  <c r="AI16" i="9"/>
  <c r="AJ15" i="9"/>
  <c r="AJ16" i="9"/>
  <c r="AK15" i="9"/>
  <c r="AK16" i="9"/>
  <c r="AL15" i="9"/>
  <c r="AL16" i="9"/>
  <c r="AM15" i="9"/>
  <c r="AM16" i="9"/>
  <c r="AN15" i="9"/>
  <c r="AN16" i="9"/>
  <c r="AO15" i="9"/>
  <c r="AO16" i="9"/>
  <c r="AP15" i="9"/>
  <c r="AP16" i="9"/>
  <c r="AQ15" i="9"/>
  <c r="AQ16" i="9"/>
  <c r="AR15" i="9"/>
  <c r="AR16" i="9"/>
  <c r="AS15" i="9"/>
  <c r="AS16" i="9"/>
  <c r="AT15" i="9"/>
  <c r="AT16" i="9"/>
  <c r="AU15" i="9"/>
  <c r="AU16" i="9"/>
  <c r="AV15" i="9"/>
  <c r="AV16" i="9"/>
  <c r="AW15" i="9"/>
  <c r="AW16" i="9"/>
  <c r="AX15" i="9"/>
  <c r="AX16" i="9"/>
  <c r="AY15" i="9"/>
  <c r="AY16" i="9"/>
  <c r="AZ15" i="9"/>
  <c r="AZ16" i="9"/>
  <c r="BA15" i="9"/>
  <c r="BA16" i="9"/>
  <c r="BB15" i="9"/>
  <c r="BB16" i="9"/>
  <c r="BC15" i="9"/>
  <c r="BC16" i="9"/>
  <c r="BD15" i="9"/>
  <c r="BD16" i="9"/>
  <c r="BE15" i="9"/>
  <c r="BE16" i="9"/>
  <c r="BF15" i="9"/>
  <c r="BF16" i="9"/>
  <c r="BG15" i="9"/>
  <c r="BG16" i="9"/>
  <c r="BH15" i="9"/>
  <c r="BH16" i="9"/>
  <c r="BI15" i="9"/>
  <c r="BI16" i="9"/>
  <c r="BJ15" i="9"/>
  <c r="BJ16" i="9"/>
  <c r="BK15" i="9"/>
  <c r="BK16" i="9"/>
  <c r="BL15" i="9"/>
  <c r="BL16" i="9"/>
  <c r="BM15" i="9"/>
  <c r="BM16" i="9"/>
  <c r="BN15" i="9"/>
  <c r="BN16" i="9"/>
  <c r="BO15" i="9"/>
  <c r="BO16" i="9"/>
  <c r="BP15" i="9"/>
  <c r="BP16" i="9"/>
  <c r="BQ15" i="9"/>
  <c r="BQ16" i="9"/>
  <c r="BR15" i="9"/>
  <c r="BR16" i="9"/>
  <c r="BS15" i="9"/>
  <c r="BS16" i="9"/>
  <c r="BT16" i="9"/>
  <c r="B33" i="9"/>
  <c r="F3" i="2"/>
  <c r="L3" i="1"/>
  <c r="L17" i="1"/>
  <c r="J4" i="1"/>
  <c r="J18" i="1"/>
  <c r="K4" i="1"/>
  <c r="K18" i="1"/>
  <c r="F5" i="9"/>
  <c r="F6" i="9"/>
  <c r="F7" i="9"/>
  <c r="G5" i="9"/>
  <c r="G6" i="9"/>
  <c r="G7" i="9"/>
  <c r="H5" i="9"/>
  <c r="H6" i="9"/>
  <c r="H7" i="9"/>
  <c r="I5" i="9"/>
  <c r="I6" i="9"/>
  <c r="I7" i="9"/>
  <c r="J5" i="9"/>
  <c r="J6" i="9"/>
  <c r="J7" i="9"/>
  <c r="K5" i="9"/>
  <c r="K6" i="9"/>
  <c r="K7" i="9"/>
  <c r="L5" i="9"/>
  <c r="L6" i="9"/>
  <c r="L7" i="9"/>
  <c r="M5" i="9"/>
  <c r="M6" i="9"/>
  <c r="M7" i="9"/>
  <c r="N5" i="9"/>
  <c r="N6" i="9"/>
  <c r="N7" i="9"/>
  <c r="O5" i="9"/>
  <c r="O6" i="9"/>
  <c r="O7" i="9"/>
  <c r="P5" i="9"/>
  <c r="P6" i="9"/>
  <c r="P7" i="9"/>
  <c r="Q5" i="9"/>
  <c r="Q6" i="9"/>
  <c r="Q7" i="9"/>
  <c r="R5" i="9"/>
  <c r="R6" i="9"/>
  <c r="R7" i="9"/>
  <c r="S5" i="9"/>
  <c r="S6" i="9"/>
  <c r="S7" i="9"/>
  <c r="T5" i="9"/>
  <c r="T6" i="9"/>
  <c r="T7" i="9"/>
  <c r="U5" i="9"/>
  <c r="U6" i="9"/>
  <c r="U7" i="9"/>
  <c r="V5" i="9"/>
  <c r="V6" i="9"/>
  <c r="V7" i="9"/>
  <c r="W5" i="9"/>
  <c r="W6" i="9"/>
  <c r="W7" i="9"/>
  <c r="X5" i="9"/>
  <c r="X6" i="9"/>
  <c r="X7" i="9"/>
  <c r="Y5" i="9"/>
  <c r="Y6" i="9"/>
  <c r="Y7" i="9"/>
  <c r="Z5" i="9"/>
  <c r="Z6" i="9"/>
  <c r="Z7" i="9"/>
  <c r="AA5" i="9"/>
  <c r="AA6" i="9"/>
  <c r="AA7" i="9"/>
  <c r="AB5" i="9"/>
  <c r="AB6" i="9"/>
  <c r="AB7" i="9"/>
  <c r="AC5" i="9"/>
  <c r="AC6" i="9"/>
  <c r="AC7" i="9"/>
  <c r="AD5" i="9"/>
  <c r="AD6" i="9"/>
  <c r="AD7" i="9"/>
  <c r="AE5" i="9"/>
  <c r="AE6" i="9"/>
  <c r="AE7" i="9"/>
  <c r="AF5" i="9"/>
  <c r="AF6" i="9"/>
  <c r="AF7" i="9"/>
  <c r="AG5" i="9"/>
  <c r="AG6" i="9"/>
  <c r="AG7" i="9"/>
  <c r="AH5" i="9"/>
  <c r="AH6" i="9"/>
  <c r="AH7" i="9"/>
  <c r="AI5" i="9"/>
  <c r="AI6" i="9"/>
  <c r="AI7" i="9"/>
  <c r="AJ5" i="9"/>
  <c r="AJ6" i="9"/>
  <c r="AJ7" i="9"/>
  <c r="AK5" i="9"/>
  <c r="AK6" i="9"/>
  <c r="AK7" i="9"/>
  <c r="AL5" i="9"/>
  <c r="AL6" i="9"/>
  <c r="AL7" i="9"/>
  <c r="AM5" i="9"/>
  <c r="AM6" i="9"/>
  <c r="AM7" i="9"/>
  <c r="AN5" i="9"/>
  <c r="AN6" i="9"/>
  <c r="AN7" i="9"/>
  <c r="AO5" i="9"/>
  <c r="AO6" i="9"/>
  <c r="AO7" i="9"/>
  <c r="AP5" i="9"/>
  <c r="AP6" i="9"/>
  <c r="AP7" i="9"/>
  <c r="AQ5" i="9"/>
  <c r="AQ6" i="9"/>
  <c r="AQ7" i="9"/>
  <c r="AR5" i="9"/>
  <c r="AR6" i="9"/>
  <c r="AR7" i="9"/>
  <c r="AS5" i="9"/>
  <c r="AS6" i="9"/>
  <c r="AS7" i="9"/>
  <c r="AT5" i="9"/>
  <c r="AT6" i="9"/>
  <c r="AT7" i="9"/>
  <c r="AU5" i="9"/>
  <c r="AU6" i="9"/>
  <c r="AU7" i="9"/>
  <c r="AV5" i="9"/>
  <c r="AV6" i="9"/>
  <c r="AV7" i="9"/>
  <c r="AW5" i="9"/>
  <c r="AW6" i="9"/>
  <c r="AW7" i="9"/>
  <c r="AX5" i="9"/>
  <c r="AX6" i="9"/>
  <c r="AX7" i="9"/>
  <c r="AY5" i="9"/>
  <c r="AY6" i="9"/>
  <c r="AY7" i="9"/>
  <c r="AZ5" i="9"/>
  <c r="AZ6" i="9"/>
  <c r="AZ7" i="9"/>
  <c r="BA5" i="9"/>
  <c r="BA6" i="9"/>
  <c r="BA7" i="9"/>
  <c r="BB5" i="9"/>
  <c r="BB6" i="9"/>
  <c r="BB7" i="9"/>
  <c r="BC5" i="9"/>
  <c r="BC6" i="9"/>
  <c r="BC7" i="9"/>
  <c r="BD5" i="9"/>
  <c r="BD6" i="9"/>
  <c r="BD7" i="9"/>
  <c r="BE5" i="9"/>
  <c r="BE6" i="9"/>
  <c r="BE7" i="9"/>
  <c r="BF5" i="9"/>
  <c r="BF6" i="9"/>
  <c r="BF7" i="9"/>
  <c r="BG5" i="9"/>
  <c r="BG6" i="9"/>
  <c r="BG7" i="9"/>
  <c r="BH5" i="9"/>
  <c r="BH6" i="9"/>
  <c r="BH7" i="9"/>
  <c r="BI5" i="9"/>
  <c r="BI6" i="9"/>
  <c r="BI7" i="9"/>
  <c r="BJ5" i="9"/>
  <c r="BJ6" i="9"/>
  <c r="BJ7" i="9"/>
  <c r="BK5" i="9"/>
  <c r="BK6" i="9"/>
  <c r="BK7" i="9"/>
  <c r="BL5" i="9"/>
  <c r="BL6" i="9"/>
  <c r="BL7" i="9"/>
  <c r="BM5" i="9"/>
  <c r="BM6" i="9"/>
  <c r="BM7" i="9"/>
  <c r="BN5" i="9"/>
  <c r="BN6" i="9"/>
  <c r="BN7" i="9"/>
  <c r="BO5" i="9"/>
  <c r="BO6" i="9"/>
  <c r="BO7" i="9"/>
  <c r="BP5" i="9"/>
  <c r="BP6" i="9"/>
  <c r="BP7" i="9"/>
  <c r="BQ5" i="9"/>
  <c r="BQ6" i="9"/>
  <c r="BQ7" i="9"/>
  <c r="BR5" i="9"/>
  <c r="BR6" i="9"/>
  <c r="BR7" i="9"/>
  <c r="BS5" i="9"/>
  <c r="BS6" i="9"/>
  <c r="BS7" i="9"/>
  <c r="B5" i="9"/>
  <c r="B6" i="9"/>
  <c r="B7" i="9"/>
  <c r="J5" i="1"/>
  <c r="J19" i="1"/>
  <c r="K5" i="1"/>
  <c r="K19" i="1"/>
  <c r="C23" i="9"/>
  <c r="C24" i="9"/>
  <c r="D23" i="9"/>
  <c r="D24" i="9"/>
  <c r="E23" i="9"/>
  <c r="E24" i="9"/>
  <c r="F23" i="9"/>
  <c r="F24" i="9"/>
  <c r="G23" i="9"/>
  <c r="G24" i="9"/>
  <c r="H23" i="9"/>
  <c r="H24" i="9"/>
  <c r="I23" i="9"/>
  <c r="I24" i="9"/>
  <c r="J23" i="9"/>
  <c r="J24" i="9"/>
  <c r="K23" i="9"/>
  <c r="K24" i="9"/>
  <c r="L23" i="9"/>
  <c r="L24" i="9"/>
  <c r="M23" i="9"/>
  <c r="M24" i="9"/>
  <c r="N23" i="9"/>
  <c r="N24" i="9"/>
  <c r="O23" i="9"/>
  <c r="O24" i="9"/>
  <c r="P23" i="9"/>
  <c r="P24" i="9"/>
  <c r="Q23" i="9"/>
  <c r="Q24" i="9"/>
  <c r="R23" i="9"/>
  <c r="R24" i="9"/>
  <c r="S23" i="9"/>
  <c r="S24" i="9"/>
  <c r="T23" i="9"/>
  <c r="T24" i="9"/>
  <c r="U23" i="9"/>
  <c r="U24" i="9"/>
  <c r="V23" i="9"/>
  <c r="V24" i="9"/>
  <c r="W23" i="9"/>
  <c r="W24" i="9"/>
  <c r="X23" i="9"/>
  <c r="X24" i="9"/>
  <c r="Y23" i="9"/>
  <c r="Y24" i="9"/>
  <c r="Z23" i="9"/>
  <c r="Z24" i="9"/>
  <c r="AA23" i="9"/>
  <c r="AA24" i="9"/>
  <c r="AB23" i="9"/>
  <c r="AB24" i="9"/>
  <c r="AC23" i="9"/>
  <c r="AC24" i="9"/>
  <c r="AD23" i="9"/>
  <c r="AD24" i="9"/>
  <c r="AE23" i="9"/>
  <c r="AE24" i="9"/>
  <c r="AF23" i="9"/>
  <c r="AF24" i="9"/>
  <c r="AG23" i="9"/>
  <c r="AG24" i="9"/>
  <c r="AH23" i="9"/>
  <c r="AH24" i="9"/>
  <c r="AI23" i="9"/>
  <c r="AI24" i="9"/>
  <c r="AJ23" i="9"/>
  <c r="AJ24" i="9"/>
  <c r="AK23" i="9"/>
  <c r="AK24" i="9"/>
  <c r="AL23" i="9"/>
  <c r="AL24" i="9"/>
  <c r="AM23" i="9"/>
  <c r="AM24" i="9"/>
  <c r="AN23" i="9"/>
  <c r="AN24" i="9"/>
  <c r="AO23" i="9"/>
  <c r="AO24" i="9"/>
  <c r="AP23" i="9"/>
  <c r="AP24" i="9"/>
  <c r="AQ23" i="9"/>
  <c r="AQ24" i="9"/>
  <c r="AR23" i="9"/>
  <c r="AR24" i="9"/>
  <c r="AS23" i="9"/>
  <c r="AS24" i="9"/>
  <c r="AT23" i="9"/>
  <c r="AT24" i="9"/>
  <c r="AU23" i="9"/>
  <c r="AU24" i="9"/>
  <c r="AV23" i="9"/>
  <c r="AV24" i="9"/>
  <c r="AW23" i="9"/>
  <c r="AW24" i="9"/>
  <c r="AX23" i="9"/>
  <c r="AX24" i="9"/>
  <c r="AY23" i="9"/>
  <c r="AY24" i="9"/>
  <c r="AZ23" i="9"/>
  <c r="AZ24" i="9"/>
  <c r="BA23" i="9"/>
  <c r="BA24" i="9"/>
  <c r="BB23" i="9"/>
  <c r="BB24" i="9"/>
  <c r="BC23" i="9"/>
  <c r="BC24" i="9"/>
  <c r="BD23" i="9"/>
  <c r="BD24" i="9"/>
  <c r="BE23" i="9"/>
  <c r="BE24" i="9"/>
  <c r="BF23" i="9"/>
  <c r="BF24" i="9"/>
  <c r="BG23" i="9"/>
  <c r="BG24" i="9"/>
  <c r="BH23" i="9"/>
  <c r="BH24" i="9"/>
  <c r="BI23" i="9"/>
  <c r="BI24" i="9"/>
  <c r="BJ23" i="9"/>
  <c r="BJ24" i="9"/>
  <c r="BK23" i="9"/>
  <c r="BK24" i="9"/>
  <c r="BL23" i="9"/>
  <c r="BL24" i="9"/>
  <c r="BM23" i="9"/>
  <c r="BM24" i="9"/>
  <c r="BN23" i="9"/>
  <c r="BN24" i="9"/>
  <c r="BO23" i="9"/>
  <c r="BO24" i="9"/>
  <c r="BP23" i="9"/>
  <c r="BP24" i="9"/>
  <c r="BQ23" i="9"/>
  <c r="BQ24" i="9"/>
  <c r="BR23" i="9"/>
  <c r="BR24" i="9"/>
  <c r="BS23" i="9"/>
  <c r="BS24" i="9"/>
  <c r="BT24" i="9"/>
  <c r="B34" i="9"/>
  <c r="F5" i="2"/>
  <c r="L5" i="1"/>
  <c r="L19" i="1"/>
  <c r="I5" i="1"/>
  <c r="I19" i="1"/>
  <c r="I4" i="1"/>
  <c r="I18" i="1"/>
  <c r="I3" i="1"/>
  <c r="I17" i="1"/>
  <c r="I2" i="1"/>
  <c r="I16" i="1"/>
  <c r="J12" i="1"/>
  <c r="K12" i="1"/>
  <c r="L12" i="1"/>
  <c r="I12" i="1"/>
  <c r="J11" i="1"/>
  <c r="K11" i="1"/>
  <c r="I11" i="1"/>
  <c r="J10" i="1"/>
  <c r="K10" i="1"/>
  <c r="L10" i="1"/>
  <c r="I10" i="1"/>
  <c r="J9" i="1"/>
  <c r="K9" i="1"/>
  <c r="L9" i="1"/>
  <c r="I9" i="1"/>
  <c r="C2" i="1"/>
  <c r="C16" i="1"/>
  <c r="D16" i="1"/>
  <c r="F16" i="1"/>
  <c r="G16" i="1"/>
  <c r="B47" i="7"/>
  <c r="C47" i="7"/>
  <c r="D47" i="7"/>
  <c r="B43" i="7"/>
  <c r="C43" i="7"/>
  <c r="D43" i="7"/>
  <c r="B44" i="7"/>
  <c r="C44" i="7"/>
  <c r="D44" i="7"/>
  <c r="B45" i="7"/>
  <c r="C45" i="7"/>
  <c r="D45" i="7"/>
  <c r="B46" i="7"/>
  <c r="C46" i="7"/>
  <c r="D46" i="7"/>
  <c r="E19" i="1"/>
  <c r="B19" i="1"/>
  <c r="C5" i="1"/>
  <c r="C19" i="1"/>
  <c r="D19" i="1"/>
  <c r="F19" i="1"/>
  <c r="E18" i="1"/>
  <c r="B18" i="1"/>
  <c r="C4" i="1"/>
  <c r="C18" i="1"/>
  <c r="D18" i="1"/>
  <c r="F18" i="1"/>
  <c r="E17" i="1"/>
  <c r="B17" i="1"/>
  <c r="C3" i="1"/>
  <c r="C17" i="1"/>
  <c r="D17" i="1"/>
  <c r="F17" i="1"/>
  <c r="E12" i="1"/>
  <c r="B12" i="1"/>
  <c r="C12" i="1"/>
  <c r="D12" i="1"/>
  <c r="F12" i="1"/>
  <c r="E11" i="1"/>
  <c r="B11" i="1"/>
  <c r="C11" i="1"/>
  <c r="D11" i="1"/>
  <c r="F11" i="1"/>
  <c r="E10" i="1"/>
  <c r="B10" i="1"/>
  <c r="C10" i="1"/>
  <c r="D10" i="1"/>
  <c r="F10" i="1"/>
  <c r="C9" i="1"/>
  <c r="D9" i="1"/>
  <c r="F9" i="1"/>
  <c r="E3" i="1"/>
  <c r="D3" i="1"/>
  <c r="F3" i="1"/>
  <c r="E4" i="1"/>
  <c r="B4" i="1"/>
  <c r="D4" i="1"/>
  <c r="F4" i="1"/>
  <c r="E5" i="1"/>
  <c r="B5" i="1"/>
  <c r="D5" i="1"/>
  <c r="F5" i="1"/>
  <c r="D2" i="1"/>
  <c r="F2" i="1"/>
  <c r="B5" i="7"/>
  <c r="F2" i="2"/>
  <c r="A4" i="3"/>
  <c r="E5" i="2"/>
  <c r="B22" i="9"/>
  <c r="B23" i="9"/>
  <c r="B24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BN22" i="9"/>
  <c r="BO22" i="9"/>
  <c r="BP22" i="9"/>
  <c r="BQ22" i="9"/>
  <c r="BR22" i="9"/>
  <c r="BS22" i="9"/>
  <c r="BT23" i="9"/>
  <c r="BT22" i="9"/>
  <c r="D1" i="2"/>
  <c r="C1" i="2"/>
  <c r="B1" i="2"/>
  <c r="A1" i="2"/>
  <c r="B14" i="9"/>
  <c r="B15" i="9"/>
  <c r="B16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BN14" i="9"/>
  <c r="BO14" i="9"/>
  <c r="BP14" i="9"/>
  <c r="BQ14" i="9"/>
  <c r="BR14" i="9"/>
  <c r="BS14" i="9"/>
  <c r="E4" i="2"/>
  <c r="E3" i="2"/>
  <c r="BT14" i="9"/>
  <c r="BT15" i="9"/>
  <c r="B13" i="7"/>
  <c r="M7" i="7"/>
  <c r="C13" i="7"/>
  <c r="D13" i="7"/>
  <c r="C4" i="7"/>
  <c r="D4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4" i="7"/>
  <c r="M8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3" i="7"/>
  <c r="C3" i="7"/>
  <c r="C2" i="7"/>
  <c r="D3" i="7"/>
  <c r="D2" i="7"/>
  <c r="B2" i="7"/>
  <c r="B11" i="8"/>
  <c r="A3" i="3"/>
  <c r="H16" i="1"/>
  <c r="G17" i="1"/>
  <c r="H17" i="1"/>
  <c r="M17" i="1"/>
  <c r="G18" i="1"/>
  <c r="H18" i="1"/>
  <c r="G19" i="1"/>
  <c r="H19" i="1"/>
  <c r="M19" i="1"/>
  <c r="M16" i="1"/>
  <c r="G9" i="1"/>
  <c r="H9" i="1"/>
  <c r="G10" i="1"/>
  <c r="H10" i="1"/>
  <c r="M10" i="1"/>
  <c r="G11" i="1"/>
  <c r="H11" i="1"/>
  <c r="G12" i="1"/>
  <c r="H12" i="1"/>
  <c r="M12" i="1"/>
  <c r="M9" i="1"/>
  <c r="G2" i="1"/>
  <c r="H2" i="1"/>
  <c r="G3" i="1"/>
  <c r="H3" i="1"/>
  <c r="M3" i="1"/>
  <c r="G4" i="1"/>
  <c r="H4" i="1"/>
  <c r="G5" i="1"/>
  <c r="H5" i="1"/>
  <c r="M5" i="1"/>
  <c r="M2" i="1"/>
  <c r="A1" i="1"/>
  <c r="A2" i="3"/>
  <c r="A5" i="3"/>
  <c r="A1" i="3"/>
  <c r="E5" i="9"/>
  <c r="E6" i="9"/>
  <c r="E7" i="9"/>
  <c r="BT7" i="9"/>
  <c r="B32" i="9"/>
  <c r="F4" i="2"/>
  <c r="L4" i="1"/>
  <c r="M4" i="1"/>
  <c r="L11" i="1"/>
  <c r="M11" i="1"/>
  <c r="L18" i="1"/>
  <c r="M18" i="1"/>
  <c r="BT6" i="9"/>
  <c r="BT5" i="9"/>
</calcChain>
</file>

<file path=xl/comments1.xml><?xml version="1.0" encoding="utf-8"?>
<comments xmlns="http://schemas.openxmlformats.org/spreadsheetml/2006/main">
  <authors>
    <author>Marc Verhougstraete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Marc Verhougstraete:</t>
        </r>
        <r>
          <rPr>
            <sz val="9"/>
            <color indexed="81"/>
            <rFont val="Tahoma"/>
            <family val="2"/>
          </rPr>
          <t xml:space="preserve">
Adjusted for 1ug/dl baseline BLL in US children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Marc Verhougstraete:</t>
        </r>
        <r>
          <rPr>
            <sz val="9"/>
            <color indexed="81"/>
            <rFont val="Tahoma"/>
            <family val="2"/>
          </rPr>
          <t xml:space="preserve">
From WHO and Schwartz 1994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Marc Verhougstraete:</t>
        </r>
        <r>
          <rPr>
            <sz val="9"/>
            <color indexed="81"/>
            <rFont val="Tahoma"/>
            <family val="2"/>
          </rPr>
          <t xml:space="preserve">
Pichery et al., 2011:the total economic impact of lead on childhood IQ and found that the loss of lifetime earnings decreased by $20,877 (2015 USD equivalent) for each lost IQ point </t>
        </r>
      </text>
    </comment>
  </commentList>
</comments>
</file>

<file path=xl/comments2.xml><?xml version="1.0" encoding="utf-8"?>
<comments xmlns="http://schemas.openxmlformats.org/spreadsheetml/2006/main">
  <authors>
    <author>Marc Verhougstraete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Marc Verhougstraete:</t>
        </r>
        <r>
          <rPr>
            <sz val="9"/>
            <color indexed="81"/>
            <rFont val="Tahoma"/>
            <family val="2"/>
          </rPr>
          <t xml:space="preserve">
This still requires manual entry of the two exposure/lost iq rates. Need to setup an IF statement to toggle between the two rates based on BLL levels
</t>
        </r>
      </text>
    </comment>
  </commentList>
</comments>
</file>

<file path=xl/sharedStrings.xml><?xml version="1.0" encoding="utf-8"?>
<sst xmlns="http://schemas.openxmlformats.org/spreadsheetml/2006/main" count="133" uniqueCount="93">
  <si>
    <t>Cost of unit (initial)</t>
  </si>
  <si>
    <t>No treatment</t>
  </si>
  <si>
    <t>POU Type</t>
  </si>
  <si>
    <t>Arsenic, Chromium, Nitrates, Lead,</t>
  </si>
  <si>
    <t>Microorganisms, Lead</t>
  </si>
  <si>
    <t>Total arsenic, chromium, mercury, nitrate/nitrite and microorganisms</t>
  </si>
  <si>
    <t>Reverse Osmosis**</t>
  </si>
  <si>
    <t>Distillation **</t>
  </si>
  <si>
    <t>Adsorptive Media*</t>
  </si>
  <si>
    <t>ANSI/NSF Standard</t>
  </si>
  <si>
    <t>ANSI/NSF certified to remove</t>
  </si>
  <si>
    <r>
      <t xml:space="preserve">The ‘POU devices’ tab describes the installation and operational costs of each device type which is also presented in </t>
    </r>
    <r>
      <rPr>
        <sz val="11"/>
        <color rgb="FF000000"/>
        <rFont val="Times New Roman"/>
        <family val="1"/>
      </rPr>
      <t>Table 2 in the report</t>
    </r>
    <r>
      <rPr>
        <sz val="11"/>
        <color theme="1"/>
        <rFont val="Calibri"/>
        <family val="2"/>
        <scheme val="minor"/>
      </rPr>
      <t xml:space="preserve">. </t>
    </r>
  </si>
  <si>
    <t>5 year cost</t>
  </si>
  <si>
    <t>BLL (ug/dL)</t>
  </si>
  <si>
    <t>Lifetime cost lost</t>
  </si>
  <si>
    <t>Decrease in IQ points per increment increase in blood lead levels (best estimate)</t>
  </si>
  <si>
    <t xml:space="preserve">Lifetime total economic impact of lead on childhood IQ </t>
  </si>
  <si>
    <t>0-10</t>
  </si>
  <si>
    <t>Lifetime economic loss per IQ point lost</t>
  </si>
  <si>
    <t>Removal (%)</t>
  </si>
  <si>
    <t>Life time cost of unit (assuming unit replaced every 5 years for 70 years)</t>
  </si>
  <si>
    <t>POU Removal capabilities (%)</t>
  </si>
  <si>
    <t>Cost of unit (annual maintenance)</t>
  </si>
  <si>
    <t>5 year unit  cost</t>
  </si>
  <si>
    <t>Annual unit maintenance cost</t>
  </si>
  <si>
    <t>Lifetime cost of lead exposure (2016 equvalent USD)</t>
  </si>
  <si>
    <t>Final BLL attributable to water (ug/dL)*</t>
  </si>
  <si>
    <t>*Based on the assumption that 20% of ingested lead is absorbed and expressed as BLL</t>
  </si>
  <si>
    <t>IQ points lost as result of exposure</t>
  </si>
  <si>
    <t>IQ loss</t>
  </si>
  <si>
    <t>The ‘Lead Removal’ tab presents removal and achieved concentrations for each POU type with a given starting concentration</t>
  </si>
  <si>
    <t>Cost-Effectiveness (Lead-Health no int - lead health with int - POU)</t>
  </si>
  <si>
    <t>-=not cost effective; positive values are cost effective</t>
  </si>
  <si>
    <t>ug/L</t>
  </si>
  <si>
    <t>Population</t>
  </si>
  <si>
    <t>Value</t>
  </si>
  <si>
    <t>Unit</t>
  </si>
  <si>
    <t>Parameter</t>
  </si>
  <si>
    <t>Exposure concentration in water</t>
  </si>
  <si>
    <t>BLL from exposure</t>
  </si>
  <si>
    <t>ug/dL</t>
  </si>
  <si>
    <t>Corresponding IQ points lost</t>
  </si>
  <si>
    <t>Corresponding economic impact</t>
  </si>
  <si>
    <t>per person</t>
  </si>
  <si>
    <t>Community impact</t>
  </si>
  <si>
    <t>POU</t>
  </si>
  <si>
    <t>per 5 years</t>
  </si>
  <si>
    <t>Community intervention</t>
  </si>
  <si>
    <t>Community intervention HOUSEHOLD</t>
  </si>
  <si>
    <t>Starting lead concentration in water (ug/L)</t>
  </si>
  <si>
    <t>Final lead concentration in water (ug/L)</t>
  </si>
  <si>
    <t xml:space="preserve">Values updated from 2014 to 2018 (January) using https://www.bls.gov/data/inflation_calculator.htm  </t>
  </si>
  <si>
    <t>Adjusted BLL</t>
  </si>
  <si>
    <t>11-20'</t>
  </si>
  <si>
    <t>Reverse Osmosis</t>
  </si>
  <si>
    <t>Activated Charcoal</t>
  </si>
  <si>
    <t>Inflation-Adjusted Discounted to 2018 Dollars (Net Present Value)</t>
  </si>
  <si>
    <t>Discount Rate</t>
  </si>
  <si>
    <t>Inflation Rate</t>
  </si>
  <si>
    <t>Discounted</t>
  </si>
  <si>
    <t>Inflation-Adjusted</t>
  </si>
  <si>
    <t>Sum</t>
  </si>
  <si>
    <t>Maintenance 2</t>
  </si>
  <si>
    <t>Maintenance 1</t>
  </si>
  <si>
    <t>Device</t>
  </si>
  <si>
    <t>Maintenance</t>
  </si>
  <si>
    <t>SUM</t>
  </si>
  <si>
    <t>*http://www.cyber-nook.com/chart/default.asp?Usage=10&amp;Years=4</t>
  </si>
  <si>
    <t>***Replacement cartridge: $21=cost; 100 gallons=Filter life; replaced 5 times per year</t>
  </si>
  <si>
    <t>Distillation</t>
  </si>
  <si>
    <t xml:space="preserve">Unadjusted cost per lifetime (70 year) </t>
  </si>
  <si>
    <t>****$193 electrical cost annual including year 1; replace unit every 20 years</t>
  </si>
  <si>
    <t>Gould, 2009 ($17,815 in USD 2006)</t>
  </si>
  <si>
    <t>Values updated to 2018 (January) equivalent</t>
  </si>
  <si>
    <t>70 year lifetime Inflation-Adjusted Discounted to 2018 Dollars (Net Present Value)</t>
  </si>
  <si>
    <t>** Replacement filter cartridges: $65=cost, replaced every year; Replacement membrane cartridge: $35=cost; replaced every 2 years</t>
  </si>
  <si>
    <t>Lifetime Inflation-Adjusted Discounted cost to 2018 Dollars (Net Present Value)</t>
  </si>
  <si>
    <t>IQ lost per 1 ug/dl BLL increase</t>
  </si>
  <si>
    <t>BLL (ug/dl)</t>
  </si>
  <si>
    <t>Persons</t>
  </si>
  <si>
    <t>Notes</t>
  </si>
  <si>
    <t>Manually entered from "IQ loss" tab</t>
  </si>
  <si>
    <t>Average household size</t>
  </si>
  <si>
    <t>Community specific</t>
  </si>
  <si>
    <t>One POU device per person</t>
  </si>
  <si>
    <t>One POU device per household</t>
  </si>
  <si>
    <t>Lead absorbed into blood (%)</t>
  </si>
  <si>
    <t>Number of people in household</t>
  </si>
  <si>
    <t>Annual maintenance cost</t>
  </si>
  <si>
    <t>Water consumed per person (L)</t>
  </si>
  <si>
    <t>ACTIVATRED CARBON ANNUAL MAINTENANCE</t>
  </si>
  <si>
    <t>20% from water and conversion to BLL ug/dl</t>
  </si>
  <si>
    <t xml:space="preserve">Cost from 'POU devices' tab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</si>
</sst>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0.0"/>
    <numFmt numFmtId="168" formatCode="0.000"/>
    <numFmt numFmtId="169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4" applyNumberFormat="0" applyAlignment="0" applyProtection="0"/>
    <xf numFmtId="0" fontId="7" fillId="4" borderId="4" applyNumberFormat="0" applyAlignment="0" applyProtection="0"/>
    <xf numFmtId="0" fontId="8" fillId="0" borderId="5" applyNumberFormat="0" applyFill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1" xfId="0" applyBorder="1"/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6" fontId="3" fillId="0" borderId="0" xfId="0" applyNumberFormat="1" applyFont="1" applyAlignment="1">
      <alignment vertical="center"/>
    </xf>
    <xf numFmtId="0" fontId="0" fillId="0" borderId="0" xfId="0" applyNumberFormat="1"/>
    <xf numFmtId="0" fontId="3" fillId="0" borderId="0" xfId="0" applyFont="1"/>
    <xf numFmtId="44" fontId="0" fillId="0" borderId="0" xfId="1" applyFont="1"/>
    <xf numFmtId="2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168" fontId="0" fillId="0" borderId="0" xfId="0" applyNumberFormat="1" applyFont="1" applyBorder="1" applyAlignment="1">
      <alignment horizontal="center" vertical="center" wrapText="1"/>
    </xf>
    <xf numFmtId="167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horizontal="center" vertical="top" wrapText="1"/>
    </xf>
    <xf numFmtId="168" fontId="0" fillId="0" borderId="0" xfId="0" applyNumberFormat="1" applyFont="1" applyBorder="1" applyAlignment="1">
      <alignment horizontal="center" vertical="top" wrapText="1"/>
    </xf>
    <xf numFmtId="167" fontId="0" fillId="0" borderId="0" xfId="0" applyNumberFormat="1" applyFont="1" applyBorder="1" applyAlignment="1">
      <alignment horizontal="center" vertical="top" wrapText="1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vertical="top"/>
    </xf>
    <xf numFmtId="2" fontId="0" fillId="0" borderId="0" xfId="0" applyNumberFormat="1" applyFont="1" applyAlignment="1">
      <alignment vertical="top"/>
    </xf>
    <xf numFmtId="2" fontId="0" fillId="0" borderId="0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166" fontId="0" fillId="0" borderId="0" xfId="0" applyNumberFormat="1" applyFont="1"/>
    <xf numFmtId="0" fontId="2" fillId="0" borderId="0" xfId="0" applyFont="1" applyFill="1" applyAlignment="1">
      <alignment vertical="top" wrapText="1"/>
    </xf>
    <xf numFmtId="164" fontId="0" fillId="0" borderId="0" xfId="0" applyNumberFormat="1" applyFont="1" applyAlignment="1">
      <alignment vertical="top"/>
    </xf>
    <xf numFmtId="164" fontId="0" fillId="2" borderId="0" xfId="0" quotePrefix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165" fontId="0" fillId="0" borderId="0" xfId="1" applyNumberFormat="1" applyFont="1"/>
    <xf numFmtId="0" fontId="9" fillId="0" borderId="0" xfId="0" applyFont="1"/>
    <xf numFmtId="9" fontId="0" fillId="0" borderId="0" xfId="0" applyNumberFormat="1"/>
    <xf numFmtId="164" fontId="0" fillId="0" borderId="0" xfId="0" applyNumberFormat="1"/>
    <xf numFmtId="164" fontId="8" fillId="0" borderId="5" xfId="4" applyNumberFormat="1" applyAlignment="1">
      <alignment horizontal="center" vertical="top" wrapText="1"/>
    </xf>
    <xf numFmtId="0" fontId="9" fillId="0" borderId="0" xfId="0" applyFont="1" applyAlignment="1">
      <alignment wrapText="1"/>
    </xf>
    <xf numFmtId="0" fontId="6" fillId="3" borderId="4" xfId="2"/>
    <xf numFmtId="164" fontId="7" fillId="4" borderId="4" xfId="3" applyNumberFormat="1"/>
    <xf numFmtId="164" fontId="6" fillId="3" borderId="4" xfId="2" applyNumberFormat="1" applyAlignment="1">
      <alignment horizontal="center" vertical="center" wrapText="1"/>
    </xf>
    <xf numFmtId="164" fontId="7" fillId="4" borderId="4" xfId="3" applyNumberFormat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9" fontId="6" fillId="3" borderId="9" xfId="2" applyNumberFormat="1" applyBorder="1" applyAlignment="1">
      <alignment horizontal="center" vertical="center"/>
    </xf>
    <xf numFmtId="9" fontId="6" fillId="3" borderId="9" xfId="2" applyNumberForma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9" fontId="6" fillId="3" borderId="11" xfId="2" applyNumberForma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166" fontId="6" fillId="3" borderId="14" xfId="2" applyNumberFormat="1" applyBorder="1" applyAlignment="1">
      <alignment horizontal="left"/>
    </xf>
    <xf numFmtId="0" fontId="8" fillId="0" borderId="5" xfId="4" applyAlignment="1">
      <alignment horizontal="center" vertical="top" wrapText="1"/>
    </xf>
    <xf numFmtId="2" fontId="7" fillId="4" borderId="4" xfId="3" applyNumberFormat="1" applyAlignment="1">
      <alignment horizontal="center" vertical="top" wrapText="1"/>
    </xf>
    <xf numFmtId="164" fontId="8" fillId="4" borderId="5" xfId="4" applyNumberFormat="1" applyFill="1" applyAlignment="1">
      <alignment horizontal="center" vertical="top" wrapText="1"/>
    </xf>
    <xf numFmtId="0" fontId="0" fillId="0" borderId="15" xfId="0" applyFont="1" applyBorder="1" applyAlignment="1">
      <alignment vertical="top"/>
    </xf>
    <xf numFmtId="2" fontId="7" fillId="4" borderId="16" xfId="3" applyNumberFormat="1" applyBorder="1" applyAlignment="1">
      <alignment horizontal="center" vertical="top" wrapText="1"/>
    </xf>
    <xf numFmtId="168" fontId="7" fillId="4" borderId="16" xfId="3" applyNumberForma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17" xfId="0" applyFont="1" applyFill="1" applyBorder="1" applyAlignment="1">
      <alignment horizontal="center" vertical="top" wrapText="1"/>
    </xf>
    <xf numFmtId="164" fontId="7" fillId="4" borderId="18" xfId="3" applyNumberFormat="1" applyBorder="1" applyAlignment="1">
      <alignment horizontal="center" vertical="top"/>
    </xf>
    <xf numFmtId="164" fontId="7" fillId="4" borderId="13" xfId="3" applyNumberFormat="1" applyBorder="1" applyAlignment="1">
      <alignment horizontal="center" vertical="top"/>
    </xf>
    <xf numFmtId="164" fontId="7" fillId="4" borderId="14" xfId="3" applyNumberFormat="1" applyBorder="1" applyAlignment="1">
      <alignment horizontal="center" vertical="top"/>
    </xf>
    <xf numFmtId="167" fontId="7" fillId="4" borderId="4" xfId="3" applyNumberFormat="1" applyAlignment="1">
      <alignment horizontal="center" vertical="top" wrapText="1"/>
    </xf>
    <xf numFmtId="0" fontId="6" fillId="3" borderId="4" xfId="2" applyAlignment="1">
      <alignment vertical="top"/>
    </xf>
    <xf numFmtId="2" fontId="8" fillId="2" borderId="5" xfId="4" applyNumberFormat="1" applyFill="1" applyAlignment="1">
      <alignment horizontal="center" vertical="top" wrapText="1"/>
    </xf>
    <xf numFmtId="2" fontId="7" fillId="4" borderId="4" xfId="3" applyNumberFormat="1" applyAlignment="1">
      <alignment horizontal="center" wrapText="1"/>
    </xf>
    <xf numFmtId="0" fontId="7" fillId="4" borderId="4" xfId="3"/>
    <xf numFmtId="2" fontId="7" fillId="4" borderId="4" xfId="3" applyNumberFormat="1" applyAlignment="1">
      <alignment horizontal="center"/>
    </xf>
    <xf numFmtId="164" fontId="7" fillId="4" borderId="4" xfId="3" applyNumberFormat="1" applyAlignment="1">
      <alignment horizontal="center"/>
    </xf>
    <xf numFmtId="2" fontId="6" fillId="3" borderId="4" xfId="2" applyNumberFormat="1" applyAlignment="1">
      <alignment horizontal="center" wrapText="1"/>
    </xf>
    <xf numFmtId="0" fontId="0" fillId="0" borderId="6" xfId="0" applyBorder="1"/>
    <xf numFmtId="0" fontId="0" fillId="0" borderId="8" xfId="0" applyBorder="1"/>
    <xf numFmtId="16" fontId="0" fillId="0" borderId="10" xfId="0" applyNumberFormat="1" applyBorder="1"/>
    <xf numFmtId="0" fontId="0" fillId="0" borderId="7" xfId="0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8" fontId="8" fillId="0" borderId="5" xfId="4" applyNumberFormat="1" applyAlignment="1">
      <alignment horizontal="center" vertical="top" wrapText="1"/>
    </xf>
    <xf numFmtId="9" fontId="6" fillId="3" borderId="4" xfId="5" applyFont="1" applyFill="1" applyBorder="1" applyAlignment="1">
      <alignment horizontal="center" vertical="top" wrapText="1"/>
    </xf>
    <xf numFmtId="167" fontId="6" fillId="3" borderId="16" xfId="2" applyNumberFormat="1" applyBorder="1"/>
    <xf numFmtId="167" fontId="6" fillId="3" borderId="4" xfId="2" applyNumberFormat="1" applyAlignment="1">
      <alignment vertical="top"/>
    </xf>
    <xf numFmtId="169" fontId="8" fillId="0" borderId="5" xfId="4" applyNumberFormat="1" applyAlignment="1">
      <alignment horizontal="center" vertical="top" wrapText="1"/>
    </xf>
    <xf numFmtId="165" fontId="0" fillId="0" borderId="0" xfId="0" applyNumberFormat="1"/>
    <xf numFmtId="44" fontId="7" fillId="4" borderId="4" xfId="1" applyFont="1" applyFill="1" applyBorder="1"/>
    <xf numFmtId="164" fontId="8" fillId="3" borderId="5" xfId="4" applyNumberFormat="1" applyFill="1" applyAlignment="1">
      <alignment horizontal="center" vertical="center" wrapText="1"/>
    </xf>
    <xf numFmtId="0" fontId="9" fillId="0" borderId="21" xfId="0" applyFont="1" applyBorder="1"/>
    <xf numFmtId="0" fontId="0" fillId="0" borderId="22" xfId="0" applyBorder="1"/>
    <xf numFmtId="0" fontId="0" fillId="0" borderId="23" xfId="0" applyBorder="1"/>
    <xf numFmtId="0" fontId="9" fillId="0" borderId="24" xfId="0" applyFont="1" applyBorder="1"/>
    <xf numFmtId="0" fontId="9" fillId="0" borderId="0" xfId="0" applyFont="1" applyBorder="1"/>
    <xf numFmtId="0" fontId="9" fillId="0" borderId="25" xfId="0" applyFont="1" applyBorder="1"/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0" fillId="0" borderId="24" xfId="0" applyBorder="1" applyAlignment="1">
      <alignment horizontal="right"/>
    </xf>
    <xf numFmtId="2" fontId="0" fillId="0" borderId="25" xfId="0" applyNumberFormat="1" applyBorder="1"/>
    <xf numFmtId="2" fontId="0" fillId="0" borderId="0" xfId="0" applyNumberFormat="1" applyBorder="1"/>
    <xf numFmtId="0" fontId="0" fillId="0" borderId="26" xfId="0" applyBorder="1"/>
    <xf numFmtId="2" fontId="0" fillId="0" borderId="27" xfId="0" applyNumberFormat="1" applyBorder="1"/>
    <xf numFmtId="2" fontId="0" fillId="0" borderId="28" xfId="0" applyNumberFormat="1" applyBorder="1"/>
    <xf numFmtId="166" fontId="7" fillId="4" borderId="4" xfId="3" applyNumberFormat="1" applyAlignment="1">
      <alignment horizontal="center" vertical="center" wrapText="1"/>
    </xf>
  </cellXfs>
  <cellStyles count="6">
    <cellStyle name="Calculation" xfId="3" builtinId="22"/>
    <cellStyle name="Currency" xfId="1" builtinId="4"/>
    <cellStyle name="Input" xfId="2" builtinId="20"/>
    <cellStyle name="Linked Cell" xfId="4" builtinId="24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'IQ loss'!$B$1</c:f>
              <c:strCache>
                <c:ptCount val="1"/>
                <c:pt idx="0">
                  <c:v>Adjusted BLL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xVal>
            <c:numRef>
              <c:f>'IQ loss'!$B$4:$B$43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'IQ loss'!$C$3:$C$43</c:f>
              <c:numCache>
                <c:formatCode>0.00</c:formatCode>
                <c:ptCount val="41"/>
                <c:pt idx="0">
                  <c:v>0</c:v>
                </c:pt>
                <c:pt idx="1">
                  <c:v>0.51315789473684215</c:v>
                </c:pt>
                <c:pt idx="2">
                  <c:v>1.0263157894736843</c:v>
                </c:pt>
                <c:pt idx="3">
                  <c:v>1.5394736842105265</c:v>
                </c:pt>
                <c:pt idx="4">
                  <c:v>2.0526315789473686</c:v>
                </c:pt>
                <c:pt idx="5">
                  <c:v>2.5657894736842106</c:v>
                </c:pt>
                <c:pt idx="6">
                  <c:v>3.0789473684210531</c:v>
                </c:pt>
                <c:pt idx="7">
                  <c:v>3.5921052631578951</c:v>
                </c:pt>
                <c:pt idx="8">
                  <c:v>4.1052631578947372</c:v>
                </c:pt>
                <c:pt idx="9">
                  <c:v>4.6184210526315796</c:v>
                </c:pt>
                <c:pt idx="10">
                  <c:v>5.1315789473684212</c:v>
                </c:pt>
                <c:pt idx="11">
                  <c:v>5.6470000000000002</c:v>
                </c:pt>
                <c:pt idx="12">
                  <c:v>5.9039999999999999</c:v>
                </c:pt>
                <c:pt idx="13">
                  <c:v>6.1609999999999996</c:v>
                </c:pt>
                <c:pt idx="14">
                  <c:v>6.4179999999999993</c:v>
                </c:pt>
                <c:pt idx="15">
                  <c:v>6.6749999999999998</c:v>
                </c:pt>
                <c:pt idx="16">
                  <c:v>6.9320000000000004</c:v>
                </c:pt>
                <c:pt idx="17">
                  <c:v>7.1890000000000001</c:v>
                </c:pt>
                <c:pt idx="18">
                  <c:v>7.4459999999999997</c:v>
                </c:pt>
                <c:pt idx="19">
                  <c:v>7.7029999999999994</c:v>
                </c:pt>
                <c:pt idx="20">
                  <c:v>7.9600000000000009</c:v>
                </c:pt>
                <c:pt idx="21">
                  <c:v>8.2170000000000005</c:v>
                </c:pt>
                <c:pt idx="22">
                  <c:v>8.4740000000000002</c:v>
                </c:pt>
                <c:pt idx="23">
                  <c:v>8.7309999999999999</c:v>
                </c:pt>
                <c:pt idx="24">
                  <c:v>8.9879999999999995</c:v>
                </c:pt>
                <c:pt idx="25">
                  <c:v>9.2449999999999992</c:v>
                </c:pt>
                <c:pt idx="26">
                  <c:v>9.5020000000000007</c:v>
                </c:pt>
                <c:pt idx="27">
                  <c:v>9.7590000000000003</c:v>
                </c:pt>
                <c:pt idx="28">
                  <c:v>10.016</c:v>
                </c:pt>
                <c:pt idx="29">
                  <c:v>10.273</c:v>
                </c:pt>
                <c:pt idx="30">
                  <c:v>10.53</c:v>
                </c:pt>
                <c:pt idx="31">
                  <c:v>10.787000000000001</c:v>
                </c:pt>
                <c:pt idx="32">
                  <c:v>11.044</c:v>
                </c:pt>
                <c:pt idx="33">
                  <c:v>11.301</c:v>
                </c:pt>
                <c:pt idx="34">
                  <c:v>11.558</c:v>
                </c:pt>
                <c:pt idx="35">
                  <c:v>11.815000000000001</c:v>
                </c:pt>
                <c:pt idx="36">
                  <c:v>12.072000000000001</c:v>
                </c:pt>
                <c:pt idx="37">
                  <c:v>12.329000000000001</c:v>
                </c:pt>
                <c:pt idx="38">
                  <c:v>12.586</c:v>
                </c:pt>
                <c:pt idx="39">
                  <c:v>12.843</c:v>
                </c:pt>
                <c:pt idx="40">
                  <c:v>13.100000000000001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D1-4615-AF42-C3FFA407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420752"/>
        <c:axId val="2098415168"/>
      </c:scatterChart>
      <c:valAx>
        <c:axId val="2098420752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Blood lead levels (ug/dL)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8415168"/>
        <c:crosses val="autoZero"/>
        <c:crossBetween val="midCat"/>
      </c:valAx>
      <c:valAx>
        <c:axId val="2098415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IQ Lost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098420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'IQ loss'!$D$1</c:f>
              <c:strCache>
                <c:ptCount val="1"/>
                <c:pt idx="0">
                  <c:v>Lifetime cost lost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'IQ loss'!$B$3:$B$43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'IQ loss'!$D$3:$D$43</c:f>
              <c:numCache>
                <c:formatCode>"$"#,##0</c:formatCode>
                <c:ptCount val="41"/>
                <c:pt idx="0">
                  <c:v>0</c:v>
                </c:pt>
                <c:pt idx="1">
                  <c:v>11427.015394736842</c:v>
                </c:pt>
                <c:pt idx="2">
                  <c:v>22854.030789473683</c:v>
                </c:pt>
                <c:pt idx="3">
                  <c:v>34281.046184210529</c:v>
                </c:pt>
                <c:pt idx="4">
                  <c:v>45708.061578947367</c:v>
                </c:pt>
                <c:pt idx="5">
                  <c:v>57135.076973684212</c:v>
                </c:pt>
                <c:pt idx="6">
                  <c:v>68562.092368421057</c:v>
                </c:pt>
                <c:pt idx="7">
                  <c:v>79989.107763157896</c:v>
                </c:pt>
                <c:pt idx="8">
                  <c:v>91416.123157894734</c:v>
                </c:pt>
                <c:pt idx="9">
                  <c:v>102843.13855263159</c:v>
                </c:pt>
                <c:pt idx="10">
                  <c:v>114270.15394736842</c:v>
                </c:pt>
                <c:pt idx="11">
                  <c:v>125747.56541</c:v>
                </c:pt>
                <c:pt idx="12">
                  <c:v>131470.44912</c:v>
                </c:pt>
                <c:pt idx="13">
                  <c:v>137193.33282999997</c:v>
                </c:pt>
                <c:pt idx="14">
                  <c:v>142916.21653999996</c:v>
                </c:pt>
                <c:pt idx="15">
                  <c:v>148639.10024999999</c:v>
                </c:pt>
                <c:pt idx="16">
                  <c:v>154361.98396000001</c:v>
                </c:pt>
                <c:pt idx="17">
                  <c:v>160084.86767000001</c:v>
                </c:pt>
                <c:pt idx="18">
                  <c:v>165807.75137999997</c:v>
                </c:pt>
                <c:pt idx="19">
                  <c:v>171530.63508999997</c:v>
                </c:pt>
                <c:pt idx="20">
                  <c:v>177253.51880000002</c:v>
                </c:pt>
                <c:pt idx="21">
                  <c:v>182976.40251000001</c:v>
                </c:pt>
                <c:pt idx="22">
                  <c:v>188699.28622000001</c:v>
                </c:pt>
                <c:pt idx="23">
                  <c:v>194422.16992999997</c:v>
                </c:pt>
                <c:pt idx="24">
                  <c:v>200145.05363999997</c:v>
                </c:pt>
                <c:pt idx="25">
                  <c:v>205867.93734999996</c:v>
                </c:pt>
                <c:pt idx="26">
                  <c:v>211590.82106000002</c:v>
                </c:pt>
                <c:pt idx="27">
                  <c:v>217313.70476999998</c:v>
                </c:pt>
                <c:pt idx="28">
                  <c:v>223036.58847999998</c:v>
                </c:pt>
                <c:pt idx="29">
                  <c:v>228759.47218999997</c:v>
                </c:pt>
                <c:pt idx="30">
                  <c:v>234482.35589999997</c:v>
                </c:pt>
                <c:pt idx="31">
                  <c:v>240205.23961000002</c:v>
                </c:pt>
                <c:pt idx="32">
                  <c:v>245928.12331999998</c:v>
                </c:pt>
                <c:pt idx="33">
                  <c:v>251651.00702999998</c:v>
                </c:pt>
                <c:pt idx="34">
                  <c:v>257373.89073999997</c:v>
                </c:pt>
                <c:pt idx="35">
                  <c:v>263096.77445000003</c:v>
                </c:pt>
                <c:pt idx="36">
                  <c:v>268819.65815999999</c:v>
                </c:pt>
                <c:pt idx="37">
                  <c:v>274542.54187000002</c:v>
                </c:pt>
                <c:pt idx="38">
                  <c:v>280265.42557999998</c:v>
                </c:pt>
                <c:pt idx="39">
                  <c:v>285988.30929</c:v>
                </c:pt>
                <c:pt idx="40">
                  <c:v>291711.19300000003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E-421D-9AB8-27EA6FF0D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342064"/>
        <c:axId val="2070732192"/>
      </c:lineChart>
      <c:catAx>
        <c:axId val="209834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Blood lead levels (ug/dL)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070732192"/>
        <c:crossesAt val="0"/>
        <c:auto val="1"/>
        <c:lblAlgn val="ctr"/>
        <c:lblOffset val="45"/>
        <c:tickLblSkip val="5"/>
        <c:tickMarkSkip val="5"/>
        <c:noMultiLvlLbl val="1"/>
      </c:catAx>
      <c:valAx>
        <c:axId val="2070732192"/>
        <c:scaling>
          <c:orientation val="minMax"/>
          <c:max val="3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Lifetime economic impact (2018 USD)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098342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3</xdr:row>
      <xdr:rowOff>104775</xdr:rowOff>
    </xdr:from>
    <xdr:to>
      <xdr:col>10</xdr:col>
      <xdr:colOff>30480</xdr:colOff>
      <xdr:row>17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20</xdr:row>
      <xdr:rowOff>12382</xdr:rowOff>
    </xdr:from>
    <xdr:to>
      <xdr:col>10</xdr:col>
      <xdr:colOff>15240</xdr:colOff>
      <xdr:row>34</xdr:row>
      <xdr:rowOff>88582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verhougstraete/Dropbox/Marc/University%20of%20Arizona/WQA%20POU/POU%20costs%20-%20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U devices"/>
    </sheetNames>
    <sheetDataSet>
      <sheetData sheetId="0">
        <row r="1">
          <cell r="A1" t="str">
            <v>POU Type</v>
          </cell>
          <cell r="B1" t="str">
            <v>Initial cost*</v>
          </cell>
          <cell r="C1" t="str">
            <v>Operation and maintenance cost (per year)*</v>
          </cell>
          <cell r="D1" t="str">
            <v>Cost per 5 years</v>
          </cell>
        </row>
        <row r="2">
          <cell r="A2" t="str">
            <v>No treatment</v>
          </cell>
        </row>
        <row r="3">
          <cell r="A3" t="str">
            <v>Reverse Osmosis **</v>
          </cell>
        </row>
        <row r="4">
          <cell r="A4" t="str">
            <v>Activated Carbon***</v>
          </cell>
        </row>
        <row r="8">
          <cell r="A8" t="str">
            <v>Distillation****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F5" sqref="F5"/>
    </sheetView>
  </sheetViews>
  <sheetFormatPr defaultColWidth="13.42578125" defaultRowHeight="15" x14ac:dyDescent="0.25"/>
  <cols>
    <col min="1" max="1" width="33.7109375" style="3" customWidth="1"/>
    <col min="2" max="2" width="12.42578125" style="43" customWidth="1"/>
    <col min="3" max="3" width="24.42578125" style="43" bestFit="1" customWidth="1"/>
    <col min="4" max="4" width="10.42578125" style="43" bestFit="1" customWidth="1"/>
    <col min="5" max="5" width="18.42578125" style="43" bestFit="1" customWidth="1"/>
    <col min="6" max="6" width="17.7109375" style="43" bestFit="1" customWidth="1"/>
    <col min="7" max="7" width="45.42578125" style="3" bestFit="1" customWidth="1"/>
    <col min="8" max="8" width="11.140625" style="3" customWidth="1"/>
    <col min="9" max="16384" width="13.42578125" style="3"/>
  </cols>
  <sheetData>
    <row r="1" spans="1:8" ht="75" x14ac:dyDescent="0.25">
      <c r="A1" s="54" t="str">
        <f>'[1]POU devices'!A1</f>
        <v>POU Type</v>
      </c>
      <c r="B1" s="55" t="str">
        <f>'[1]POU devices'!B1</f>
        <v>Initial cost*</v>
      </c>
      <c r="C1" s="55" t="str">
        <f>'[1]POU devices'!C1</f>
        <v>Operation and maintenance cost (per year)*</v>
      </c>
      <c r="D1" s="55" t="str">
        <f>'[1]POU devices'!D1</f>
        <v>Cost per 5 years</v>
      </c>
      <c r="E1" s="56" t="s">
        <v>70</v>
      </c>
      <c r="F1" s="49" t="s">
        <v>76</v>
      </c>
      <c r="G1" s="56" t="s">
        <v>10</v>
      </c>
      <c r="H1" s="56" t="s">
        <v>9</v>
      </c>
    </row>
    <row r="2" spans="1:8" x14ac:dyDescent="0.25">
      <c r="A2" s="42" t="str">
        <f>'[1]POU devices'!A2</f>
        <v>No treatment</v>
      </c>
      <c r="B2" s="52">
        <v>0</v>
      </c>
      <c r="C2" s="52">
        <v>0</v>
      </c>
      <c r="D2" s="53">
        <f t="shared" ref="D2:D3" si="0">B2+(C2*4)</f>
        <v>0</v>
      </c>
      <c r="E2" s="53">
        <v>0</v>
      </c>
      <c r="F2" s="53">
        <f>0</f>
        <v>0</v>
      </c>
      <c r="G2" s="2"/>
      <c r="H2" s="2"/>
    </row>
    <row r="3" spans="1:8" x14ac:dyDescent="0.25">
      <c r="A3" s="42" t="str">
        <f>'[1]POU devices'!A3</f>
        <v>Reverse Osmosis **</v>
      </c>
      <c r="B3" s="52">
        <v>317.89</v>
      </c>
      <c r="C3" s="52">
        <v>82.5</v>
      </c>
      <c r="D3" s="53">
        <f t="shared" si="0"/>
        <v>647.89</v>
      </c>
      <c r="E3" s="53">
        <f>D3*14</f>
        <v>9070.4599999999991</v>
      </c>
      <c r="F3" s="53">
        <f>'Inflation-Adjusted Discounted '!B33</f>
        <v>3966.2486615618823</v>
      </c>
      <c r="G3" s="2" t="s">
        <v>3</v>
      </c>
      <c r="H3" s="2">
        <v>58</v>
      </c>
    </row>
    <row r="4" spans="1:8" ht="15.75" thickBot="1" x14ac:dyDescent="0.3">
      <c r="A4" s="42" t="str">
        <f>'[1]POU devices'!A4</f>
        <v>Activated Carbon***</v>
      </c>
      <c r="B4" s="52">
        <v>31.79</v>
      </c>
      <c r="C4" s="102">
        <f>B18</f>
        <v>60.746351400000002</v>
      </c>
      <c r="D4" s="53">
        <f>B4+(C4*4)</f>
        <v>274.7754056</v>
      </c>
      <c r="E4" s="53">
        <f t="shared" ref="E4" si="1">D4*14</f>
        <v>3846.8556784000002</v>
      </c>
      <c r="F4" s="53">
        <f>'Inflation-Adjusted Discounted '!B32</f>
        <v>2025.711265031541</v>
      </c>
      <c r="G4" s="2" t="s">
        <v>4</v>
      </c>
      <c r="H4" s="2">
        <v>53</v>
      </c>
    </row>
    <row r="5" spans="1:8" ht="30.75" thickTop="1" x14ac:dyDescent="0.25">
      <c r="A5" s="42" t="str">
        <f>'[1]POU devices'!A8</f>
        <v>Distillation****</v>
      </c>
      <c r="B5" s="52">
        <v>360.28</v>
      </c>
      <c r="C5" s="52">
        <v>193</v>
      </c>
      <c r="D5" s="118">
        <f>B5+(C5*5)</f>
        <v>1325.28</v>
      </c>
      <c r="E5" s="53">
        <f>((C5*70)+(B5*4))</f>
        <v>14951.119999999999</v>
      </c>
      <c r="F5" s="53">
        <f>'Inflation-Adjusted Discounted '!B34</f>
        <v>6520.2325771699898</v>
      </c>
      <c r="G5" s="2" t="s">
        <v>5</v>
      </c>
      <c r="H5" s="2">
        <v>62</v>
      </c>
    </row>
    <row r="6" spans="1:8" x14ac:dyDescent="0.25">
      <c r="A6" s="3" t="s">
        <v>67</v>
      </c>
    </row>
    <row r="7" spans="1:8" x14ac:dyDescent="0.25">
      <c r="A7" s="3" t="s">
        <v>75</v>
      </c>
    </row>
    <row r="8" spans="1:8" x14ac:dyDescent="0.25">
      <c r="A8" s="3" t="s">
        <v>68</v>
      </c>
    </row>
    <row r="9" spans="1:8" x14ac:dyDescent="0.25">
      <c r="A9" s="3" t="s">
        <v>71</v>
      </c>
    </row>
    <row r="10" spans="1:8" x14ac:dyDescent="0.25">
      <c r="A10" s="3" t="s">
        <v>51</v>
      </c>
    </row>
    <row r="12" spans="1:8" ht="60" x14ac:dyDescent="0.25">
      <c r="A12" s="11" t="s">
        <v>11</v>
      </c>
    </row>
    <row r="15" spans="1:8" x14ac:dyDescent="0.25">
      <c r="A15" s="3" t="s">
        <v>90</v>
      </c>
    </row>
    <row r="16" spans="1:8" x14ac:dyDescent="0.25">
      <c r="A16" s="50" t="s">
        <v>87</v>
      </c>
      <c r="B16" s="50">
        <v>3</v>
      </c>
    </row>
    <row r="17" spans="1:6" x14ac:dyDescent="0.25">
      <c r="A17" s="50" t="s">
        <v>89</v>
      </c>
      <c r="B17" s="50">
        <v>1</v>
      </c>
    </row>
    <row r="18" spans="1:6" x14ac:dyDescent="0.25">
      <c r="A18" s="81" t="s">
        <v>88</v>
      </c>
      <c r="B18" s="101">
        <f>(((((B16*B17)*365)*0.264172)/100)*21)</f>
        <v>60.746351400000002</v>
      </c>
      <c r="F18" s="45"/>
    </row>
    <row r="22" spans="1:6" x14ac:dyDescent="0.25">
      <c r="F22" s="3"/>
    </row>
    <row r="23" spans="1:6" x14ac:dyDescent="0.25">
      <c r="F23" s="3"/>
    </row>
    <row r="24" spans="1:6" x14ac:dyDescent="0.25"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F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5"/>
  <sheetViews>
    <sheetView workbookViewId="0">
      <selection activeCell="B4" sqref="B4"/>
    </sheetView>
  </sheetViews>
  <sheetFormatPr defaultRowHeight="15" x14ac:dyDescent="0.25"/>
  <cols>
    <col min="1" max="1" width="18.140625" customWidth="1"/>
    <col min="2" max="2" width="10" bestFit="1" customWidth="1"/>
    <col min="11" max="11" width="10" bestFit="1" customWidth="1"/>
    <col min="12" max="12" width="9.140625" bestFit="1" customWidth="1"/>
    <col min="13" max="13" width="10.140625" bestFit="1" customWidth="1"/>
    <col min="14" max="14" width="10" bestFit="1" customWidth="1"/>
  </cols>
  <sheetData>
    <row r="1" spans="1:72" x14ac:dyDescent="0.25">
      <c r="A1" s="103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5"/>
    </row>
    <row r="2" spans="1:72" s="45" customFormat="1" x14ac:dyDescent="0.25">
      <c r="A2" s="106"/>
      <c r="B2" s="107">
        <v>1</v>
      </c>
      <c r="C2" s="107">
        <v>2</v>
      </c>
      <c r="D2" s="107">
        <v>3</v>
      </c>
      <c r="E2" s="107">
        <v>4</v>
      </c>
      <c r="F2" s="107">
        <v>5</v>
      </c>
      <c r="G2" s="107">
        <v>6</v>
      </c>
      <c r="H2" s="107">
        <v>7</v>
      </c>
      <c r="I2" s="107">
        <v>8</v>
      </c>
      <c r="J2" s="107">
        <v>9</v>
      </c>
      <c r="K2" s="107">
        <v>10</v>
      </c>
      <c r="L2" s="107">
        <v>11</v>
      </c>
      <c r="M2" s="107">
        <v>12</v>
      </c>
      <c r="N2" s="107">
        <v>13</v>
      </c>
      <c r="O2" s="107">
        <v>14</v>
      </c>
      <c r="P2" s="107">
        <v>15</v>
      </c>
      <c r="Q2" s="107">
        <v>16</v>
      </c>
      <c r="R2" s="107">
        <v>17</v>
      </c>
      <c r="S2" s="107">
        <v>18</v>
      </c>
      <c r="T2" s="107">
        <v>19</v>
      </c>
      <c r="U2" s="107">
        <v>20</v>
      </c>
      <c r="V2" s="107">
        <v>21</v>
      </c>
      <c r="W2" s="107">
        <v>22</v>
      </c>
      <c r="X2" s="107">
        <v>23</v>
      </c>
      <c r="Y2" s="107">
        <v>24</v>
      </c>
      <c r="Z2" s="107">
        <v>25</v>
      </c>
      <c r="AA2" s="107">
        <v>26</v>
      </c>
      <c r="AB2" s="107">
        <v>27</v>
      </c>
      <c r="AC2" s="107">
        <v>28</v>
      </c>
      <c r="AD2" s="107">
        <v>29</v>
      </c>
      <c r="AE2" s="107">
        <v>30</v>
      </c>
      <c r="AF2" s="107">
        <v>31</v>
      </c>
      <c r="AG2" s="107">
        <v>32</v>
      </c>
      <c r="AH2" s="107">
        <v>33</v>
      </c>
      <c r="AI2" s="107">
        <v>34</v>
      </c>
      <c r="AJ2" s="107">
        <v>35</v>
      </c>
      <c r="AK2" s="107">
        <v>36</v>
      </c>
      <c r="AL2" s="107">
        <v>37</v>
      </c>
      <c r="AM2" s="107">
        <v>38</v>
      </c>
      <c r="AN2" s="107">
        <v>39</v>
      </c>
      <c r="AO2" s="107">
        <v>40</v>
      </c>
      <c r="AP2" s="107">
        <v>41</v>
      </c>
      <c r="AQ2" s="107">
        <v>42</v>
      </c>
      <c r="AR2" s="107">
        <v>43</v>
      </c>
      <c r="AS2" s="107">
        <v>44</v>
      </c>
      <c r="AT2" s="107">
        <v>45</v>
      </c>
      <c r="AU2" s="107">
        <v>46</v>
      </c>
      <c r="AV2" s="107">
        <v>47</v>
      </c>
      <c r="AW2" s="107">
        <v>48</v>
      </c>
      <c r="AX2" s="107">
        <v>49</v>
      </c>
      <c r="AY2" s="107">
        <v>50</v>
      </c>
      <c r="AZ2" s="107">
        <v>51</v>
      </c>
      <c r="BA2" s="107">
        <v>52</v>
      </c>
      <c r="BB2" s="107">
        <v>53</v>
      </c>
      <c r="BC2" s="107">
        <v>54</v>
      </c>
      <c r="BD2" s="107">
        <v>55</v>
      </c>
      <c r="BE2" s="107">
        <v>56</v>
      </c>
      <c r="BF2" s="107">
        <v>57</v>
      </c>
      <c r="BG2" s="107">
        <v>58</v>
      </c>
      <c r="BH2" s="107">
        <v>59</v>
      </c>
      <c r="BI2" s="107">
        <v>60</v>
      </c>
      <c r="BJ2" s="107">
        <v>61</v>
      </c>
      <c r="BK2" s="107">
        <v>62</v>
      </c>
      <c r="BL2" s="107">
        <v>63</v>
      </c>
      <c r="BM2" s="107">
        <v>64</v>
      </c>
      <c r="BN2" s="107">
        <v>65</v>
      </c>
      <c r="BO2" s="107">
        <v>66</v>
      </c>
      <c r="BP2" s="107">
        <v>67</v>
      </c>
      <c r="BQ2" s="107">
        <v>68</v>
      </c>
      <c r="BR2" s="107">
        <v>69</v>
      </c>
      <c r="BS2" s="107">
        <v>70</v>
      </c>
      <c r="BT2" s="108" t="s">
        <v>66</v>
      </c>
    </row>
    <row r="3" spans="1:72" x14ac:dyDescent="0.25">
      <c r="A3" s="109" t="s">
        <v>64</v>
      </c>
      <c r="B3" s="110">
        <v>32</v>
      </c>
      <c r="C3" s="110"/>
      <c r="D3" s="110"/>
      <c r="E3" s="110"/>
      <c r="F3" s="110"/>
      <c r="G3" s="110">
        <v>32</v>
      </c>
      <c r="H3" s="110"/>
      <c r="I3" s="110"/>
      <c r="J3" s="110"/>
      <c r="K3" s="110"/>
      <c r="L3" s="110">
        <v>32</v>
      </c>
      <c r="M3" s="110"/>
      <c r="N3" s="110"/>
      <c r="O3" s="110"/>
      <c r="P3" s="110"/>
      <c r="Q3" s="110">
        <v>32</v>
      </c>
      <c r="R3" s="110"/>
      <c r="S3" s="110"/>
      <c r="T3" s="110"/>
      <c r="U3" s="110"/>
      <c r="V3" s="110">
        <v>32</v>
      </c>
      <c r="W3" s="110"/>
      <c r="X3" s="110"/>
      <c r="Y3" s="110"/>
      <c r="Z3" s="110"/>
      <c r="AA3" s="110">
        <v>32</v>
      </c>
      <c r="AB3" s="110"/>
      <c r="AC3" s="110"/>
      <c r="AD3" s="110"/>
      <c r="AE3" s="110"/>
      <c r="AF3" s="110">
        <v>32</v>
      </c>
      <c r="AG3" s="110"/>
      <c r="AH3" s="110"/>
      <c r="AI3" s="110"/>
      <c r="AJ3" s="110"/>
      <c r="AK3" s="110">
        <v>32</v>
      </c>
      <c r="AL3" s="110"/>
      <c r="AM3" s="110"/>
      <c r="AN3" s="110"/>
      <c r="AO3" s="110"/>
      <c r="AP3" s="110">
        <v>32</v>
      </c>
      <c r="AQ3" s="110"/>
      <c r="AR3" s="110"/>
      <c r="AS3" s="110"/>
      <c r="AT3" s="110"/>
      <c r="AU3" s="110">
        <v>32</v>
      </c>
      <c r="AV3" s="110"/>
      <c r="AW3" s="110"/>
      <c r="AX3" s="110"/>
      <c r="AY3" s="110"/>
      <c r="AZ3" s="110">
        <v>32</v>
      </c>
      <c r="BA3" s="110"/>
      <c r="BB3" s="110"/>
      <c r="BC3" s="110"/>
      <c r="BD3" s="110"/>
      <c r="BE3" s="110">
        <v>32</v>
      </c>
      <c r="BF3" s="110"/>
      <c r="BG3" s="110"/>
      <c r="BH3" s="110"/>
      <c r="BI3" s="110"/>
      <c r="BJ3" s="110">
        <v>32</v>
      </c>
      <c r="BK3" s="110"/>
      <c r="BL3" s="110"/>
      <c r="BM3" s="110"/>
      <c r="BN3" s="110"/>
      <c r="BO3" s="110">
        <v>32</v>
      </c>
      <c r="BP3" s="110"/>
      <c r="BQ3" s="110"/>
      <c r="BR3" s="110"/>
      <c r="BS3" s="110"/>
      <c r="BT3" s="111"/>
    </row>
    <row r="4" spans="1:72" x14ac:dyDescent="0.25">
      <c r="A4" s="109" t="s">
        <v>65</v>
      </c>
      <c r="B4" s="114">
        <f>'POU devices'!C4</f>
        <v>60.746351400000002</v>
      </c>
      <c r="C4" s="114">
        <f>'POU devices'!$C$4</f>
        <v>60.746351400000002</v>
      </c>
      <c r="D4" s="114">
        <f>'POU devices'!$C$4</f>
        <v>60.746351400000002</v>
      </c>
      <c r="E4" s="114">
        <f>'POU devices'!$C$4</f>
        <v>60.746351400000002</v>
      </c>
      <c r="F4" s="114">
        <f>'POU devices'!$C$4</f>
        <v>60.746351400000002</v>
      </c>
      <c r="G4" s="114">
        <f>'POU devices'!$C$4</f>
        <v>60.746351400000002</v>
      </c>
      <c r="H4" s="114">
        <f>'POU devices'!$C$4</f>
        <v>60.746351400000002</v>
      </c>
      <c r="I4" s="114">
        <f>'POU devices'!$C$4</f>
        <v>60.746351400000002</v>
      </c>
      <c r="J4" s="114">
        <f>'POU devices'!$C$4</f>
        <v>60.746351400000002</v>
      </c>
      <c r="K4" s="114">
        <f>'POU devices'!$C$4</f>
        <v>60.746351400000002</v>
      </c>
      <c r="L4" s="114">
        <f>'POU devices'!$C$4</f>
        <v>60.746351400000002</v>
      </c>
      <c r="M4" s="114">
        <f>'POU devices'!$C$4</f>
        <v>60.746351400000002</v>
      </c>
      <c r="N4" s="114">
        <f>'POU devices'!$C$4</f>
        <v>60.746351400000002</v>
      </c>
      <c r="O4" s="114">
        <f>'POU devices'!$C$4</f>
        <v>60.746351400000002</v>
      </c>
      <c r="P4" s="114">
        <f>'POU devices'!$C$4</f>
        <v>60.746351400000002</v>
      </c>
      <c r="Q4" s="114">
        <f>'POU devices'!$C$4</f>
        <v>60.746351400000002</v>
      </c>
      <c r="R4" s="114">
        <f>'POU devices'!$C$4</f>
        <v>60.746351400000002</v>
      </c>
      <c r="S4" s="114">
        <f>'POU devices'!$C$4</f>
        <v>60.746351400000002</v>
      </c>
      <c r="T4" s="114">
        <f>'POU devices'!$C$4</f>
        <v>60.746351400000002</v>
      </c>
      <c r="U4" s="114">
        <f>'POU devices'!$C$4</f>
        <v>60.746351400000002</v>
      </c>
      <c r="V4" s="114">
        <f>'POU devices'!$C$4</f>
        <v>60.746351400000002</v>
      </c>
      <c r="W4" s="114">
        <f>'POU devices'!$C$4</f>
        <v>60.746351400000002</v>
      </c>
      <c r="X4" s="114">
        <f>'POU devices'!$C$4</f>
        <v>60.746351400000002</v>
      </c>
      <c r="Y4" s="114">
        <f>'POU devices'!$C$4</f>
        <v>60.746351400000002</v>
      </c>
      <c r="Z4" s="114">
        <f>'POU devices'!$C$4</f>
        <v>60.746351400000002</v>
      </c>
      <c r="AA4" s="114">
        <f>'POU devices'!$C$4</f>
        <v>60.746351400000002</v>
      </c>
      <c r="AB4" s="114">
        <f>'POU devices'!$C$4</f>
        <v>60.746351400000002</v>
      </c>
      <c r="AC4" s="114">
        <f>'POU devices'!$C$4</f>
        <v>60.746351400000002</v>
      </c>
      <c r="AD4" s="114">
        <f>'POU devices'!$C$4</f>
        <v>60.746351400000002</v>
      </c>
      <c r="AE4" s="114">
        <f>'POU devices'!$C$4</f>
        <v>60.746351400000002</v>
      </c>
      <c r="AF4" s="114">
        <f>'POU devices'!$C$4</f>
        <v>60.746351400000002</v>
      </c>
      <c r="AG4" s="114">
        <f>'POU devices'!$C$4</f>
        <v>60.746351400000002</v>
      </c>
      <c r="AH4" s="114">
        <f>'POU devices'!$C$4</f>
        <v>60.746351400000002</v>
      </c>
      <c r="AI4" s="114">
        <f>'POU devices'!$C$4</f>
        <v>60.746351400000002</v>
      </c>
      <c r="AJ4" s="114">
        <f>'POU devices'!$C$4</f>
        <v>60.746351400000002</v>
      </c>
      <c r="AK4" s="114">
        <f>'POU devices'!$C$4</f>
        <v>60.746351400000002</v>
      </c>
      <c r="AL4" s="114">
        <f>'POU devices'!$C$4</f>
        <v>60.746351400000002</v>
      </c>
      <c r="AM4" s="114">
        <f>'POU devices'!$C$4</f>
        <v>60.746351400000002</v>
      </c>
      <c r="AN4" s="114">
        <f>'POU devices'!$C$4</f>
        <v>60.746351400000002</v>
      </c>
      <c r="AO4" s="114">
        <f>'POU devices'!$C$4</f>
        <v>60.746351400000002</v>
      </c>
      <c r="AP4" s="114">
        <f>'POU devices'!$C$4</f>
        <v>60.746351400000002</v>
      </c>
      <c r="AQ4" s="114">
        <f>'POU devices'!$C$4</f>
        <v>60.746351400000002</v>
      </c>
      <c r="AR4" s="114">
        <f>'POU devices'!$C$4</f>
        <v>60.746351400000002</v>
      </c>
      <c r="AS4" s="114">
        <f>'POU devices'!$C$4</f>
        <v>60.746351400000002</v>
      </c>
      <c r="AT4" s="114">
        <f>'POU devices'!$C$4</f>
        <v>60.746351400000002</v>
      </c>
      <c r="AU4" s="114">
        <f>'POU devices'!$C$4</f>
        <v>60.746351400000002</v>
      </c>
      <c r="AV4" s="114">
        <f>'POU devices'!$C$4</f>
        <v>60.746351400000002</v>
      </c>
      <c r="AW4" s="114">
        <f>'POU devices'!$C$4</f>
        <v>60.746351400000002</v>
      </c>
      <c r="AX4" s="114">
        <f>'POU devices'!$C$4</f>
        <v>60.746351400000002</v>
      </c>
      <c r="AY4" s="114">
        <f>'POU devices'!$C$4</f>
        <v>60.746351400000002</v>
      </c>
      <c r="AZ4" s="114">
        <f>'POU devices'!$C$4</f>
        <v>60.746351400000002</v>
      </c>
      <c r="BA4" s="114">
        <f>'POU devices'!$C$4</f>
        <v>60.746351400000002</v>
      </c>
      <c r="BB4" s="114">
        <f>'POU devices'!$C$4</f>
        <v>60.746351400000002</v>
      </c>
      <c r="BC4" s="114">
        <f>'POU devices'!$C$4</f>
        <v>60.746351400000002</v>
      </c>
      <c r="BD4" s="114">
        <f>'POU devices'!$C$4</f>
        <v>60.746351400000002</v>
      </c>
      <c r="BE4" s="114">
        <f>'POU devices'!$C$4</f>
        <v>60.746351400000002</v>
      </c>
      <c r="BF4" s="114">
        <f>'POU devices'!$C$4</f>
        <v>60.746351400000002</v>
      </c>
      <c r="BG4" s="114">
        <f>'POU devices'!$C$4</f>
        <v>60.746351400000002</v>
      </c>
      <c r="BH4" s="114">
        <f>'POU devices'!$C$4</f>
        <v>60.746351400000002</v>
      </c>
      <c r="BI4" s="114">
        <f>'POU devices'!$C$4</f>
        <v>60.746351400000002</v>
      </c>
      <c r="BJ4" s="114">
        <f>'POU devices'!$C$4</f>
        <v>60.746351400000002</v>
      </c>
      <c r="BK4" s="114">
        <f>'POU devices'!$C$4</f>
        <v>60.746351400000002</v>
      </c>
      <c r="BL4" s="114">
        <f>'POU devices'!$C$4</f>
        <v>60.746351400000002</v>
      </c>
      <c r="BM4" s="114">
        <f>'POU devices'!$C$4</f>
        <v>60.746351400000002</v>
      </c>
      <c r="BN4" s="114">
        <f>'POU devices'!$C$4</f>
        <v>60.746351400000002</v>
      </c>
      <c r="BO4" s="114">
        <f>'POU devices'!$C$4</f>
        <v>60.746351400000002</v>
      </c>
      <c r="BP4" s="114">
        <f>'POU devices'!$C$4</f>
        <v>60.746351400000002</v>
      </c>
      <c r="BQ4" s="114">
        <f>'POU devices'!$C$4</f>
        <v>60.746351400000002</v>
      </c>
      <c r="BR4" s="114">
        <f>'POU devices'!$C$4</f>
        <v>60.746351400000002</v>
      </c>
      <c r="BS4" s="114">
        <f>'POU devices'!$C$4</f>
        <v>60.746351400000002</v>
      </c>
      <c r="BT4" s="111"/>
    </row>
    <row r="5" spans="1:72" x14ac:dyDescent="0.25">
      <c r="A5" s="112" t="s">
        <v>61</v>
      </c>
      <c r="B5" s="114">
        <f t="shared" ref="B5:AG5" si="0">SUM(B3:B4)</f>
        <v>92.746351400000009</v>
      </c>
      <c r="C5" s="114">
        <f t="shared" si="0"/>
        <v>60.746351400000002</v>
      </c>
      <c r="D5" s="114">
        <f t="shared" si="0"/>
        <v>60.746351400000002</v>
      </c>
      <c r="E5" s="114">
        <f t="shared" si="0"/>
        <v>60.746351400000002</v>
      </c>
      <c r="F5" s="114">
        <f t="shared" si="0"/>
        <v>60.746351400000002</v>
      </c>
      <c r="G5" s="114">
        <f t="shared" si="0"/>
        <v>92.746351400000009</v>
      </c>
      <c r="H5" s="114">
        <f t="shared" si="0"/>
        <v>60.746351400000002</v>
      </c>
      <c r="I5" s="114">
        <f t="shared" si="0"/>
        <v>60.746351400000002</v>
      </c>
      <c r="J5" s="114">
        <f t="shared" si="0"/>
        <v>60.746351400000002</v>
      </c>
      <c r="K5" s="114">
        <f t="shared" si="0"/>
        <v>60.746351400000002</v>
      </c>
      <c r="L5" s="114">
        <f t="shared" si="0"/>
        <v>92.746351400000009</v>
      </c>
      <c r="M5" s="114">
        <f t="shared" si="0"/>
        <v>60.746351400000002</v>
      </c>
      <c r="N5" s="114">
        <f t="shared" si="0"/>
        <v>60.746351400000002</v>
      </c>
      <c r="O5" s="114">
        <f t="shared" si="0"/>
        <v>60.746351400000002</v>
      </c>
      <c r="P5" s="114">
        <f t="shared" si="0"/>
        <v>60.746351400000002</v>
      </c>
      <c r="Q5" s="114">
        <f t="shared" si="0"/>
        <v>92.746351400000009</v>
      </c>
      <c r="R5" s="114">
        <f t="shared" si="0"/>
        <v>60.746351400000002</v>
      </c>
      <c r="S5" s="114">
        <f t="shared" si="0"/>
        <v>60.746351400000002</v>
      </c>
      <c r="T5" s="114">
        <f t="shared" si="0"/>
        <v>60.746351400000002</v>
      </c>
      <c r="U5" s="114">
        <f t="shared" si="0"/>
        <v>60.746351400000002</v>
      </c>
      <c r="V5" s="114">
        <f t="shared" si="0"/>
        <v>92.746351400000009</v>
      </c>
      <c r="W5" s="114">
        <f t="shared" si="0"/>
        <v>60.746351400000002</v>
      </c>
      <c r="X5" s="114">
        <f t="shared" si="0"/>
        <v>60.746351400000002</v>
      </c>
      <c r="Y5" s="114">
        <f t="shared" si="0"/>
        <v>60.746351400000002</v>
      </c>
      <c r="Z5" s="114">
        <f t="shared" si="0"/>
        <v>60.746351400000002</v>
      </c>
      <c r="AA5" s="114">
        <f t="shared" si="0"/>
        <v>92.746351400000009</v>
      </c>
      <c r="AB5" s="114">
        <f t="shared" si="0"/>
        <v>60.746351400000002</v>
      </c>
      <c r="AC5" s="114">
        <f t="shared" si="0"/>
        <v>60.746351400000002</v>
      </c>
      <c r="AD5" s="114">
        <f t="shared" si="0"/>
        <v>60.746351400000002</v>
      </c>
      <c r="AE5" s="114">
        <f t="shared" si="0"/>
        <v>60.746351400000002</v>
      </c>
      <c r="AF5" s="114">
        <f t="shared" si="0"/>
        <v>92.746351400000009</v>
      </c>
      <c r="AG5" s="114">
        <f t="shared" si="0"/>
        <v>60.746351400000002</v>
      </c>
      <c r="AH5" s="114">
        <f t="shared" ref="AH5:BM5" si="1">SUM(AH3:AH4)</f>
        <v>60.746351400000002</v>
      </c>
      <c r="AI5" s="114">
        <f t="shared" si="1"/>
        <v>60.746351400000002</v>
      </c>
      <c r="AJ5" s="114">
        <f t="shared" si="1"/>
        <v>60.746351400000002</v>
      </c>
      <c r="AK5" s="114">
        <f t="shared" si="1"/>
        <v>92.746351400000009</v>
      </c>
      <c r="AL5" s="114">
        <f t="shared" si="1"/>
        <v>60.746351400000002</v>
      </c>
      <c r="AM5" s="114">
        <f t="shared" si="1"/>
        <v>60.746351400000002</v>
      </c>
      <c r="AN5" s="114">
        <f t="shared" si="1"/>
        <v>60.746351400000002</v>
      </c>
      <c r="AO5" s="114">
        <f t="shared" si="1"/>
        <v>60.746351400000002</v>
      </c>
      <c r="AP5" s="114">
        <f t="shared" si="1"/>
        <v>92.746351400000009</v>
      </c>
      <c r="AQ5" s="114">
        <f t="shared" si="1"/>
        <v>60.746351400000002</v>
      </c>
      <c r="AR5" s="114">
        <f t="shared" si="1"/>
        <v>60.746351400000002</v>
      </c>
      <c r="AS5" s="114">
        <f t="shared" si="1"/>
        <v>60.746351400000002</v>
      </c>
      <c r="AT5" s="114">
        <f t="shared" si="1"/>
        <v>60.746351400000002</v>
      </c>
      <c r="AU5" s="114">
        <f t="shared" si="1"/>
        <v>92.746351400000009</v>
      </c>
      <c r="AV5" s="114">
        <f t="shared" si="1"/>
        <v>60.746351400000002</v>
      </c>
      <c r="AW5" s="114">
        <f t="shared" si="1"/>
        <v>60.746351400000002</v>
      </c>
      <c r="AX5" s="114">
        <f t="shared" si="1"/>
        <v>60.746351400000002</v>
      </c>
      <c r="AY5" s="114">
        <f t="shared" si="1"/>
        <v>60.746351400000002</v>
      </c>
      <c r="AZ5" s="114">
        <f t="shared" si="1"/>
        <v>92.746351400000009</v>
      </c>
      <c r="BA5" s="114">
        <f t="shared" si="1"/>
        <v>60.746351400000002</v>
      </c>
      <c r="BB5" s="114">
        <f t="shared" si="1"/>
        <v>60.746351400000002</v>
      </c>
      <c r="BC5" s="114">
        <f t="shared" si="1"/>
        <v>60.746351400000002</v>
      </c>
      <c r="BD5" s="114">
        <f t="shared" si="1"/>
        <v>60.746351400000002</v>
      </c>
      <c r="BE5" s="114">
        <f t="shared" si="1"/>
        <v>92.746351400000009</v>
      </c>
      <c r="BF5" s="114">
        <f t="shared" si="1"/>
        <v>60.746351400000002</v>
      </c>
      <c r="BG5" s="114">
        <f t="shared" si="1"/>
        <v>60.746351400000002</v>
      </c>
      <c r="BH5" s="114">
        <f t="shared" si="1"/>
        <v>60.746351400000002</v>
      </c>
      <c r="BI5" s="114">
        <f t="shared" si="1"/>
        <v>60.746351400000002</v>
      </c>
      <c r="BJ5" s="114">
        <f t="shared" si="1"/>
        <v>92.746351400000009</v>
      </c>
      <c r="BK5" s="114">
        <f t="shared" si="1"/>
        <v>60.746351400000002</v>
      </c>
      <c r="BL5" s="114">
        <f t="shared" si="1"/>
        <v>60.746351400000002</v>
      </c>
      <c r="BM5" s="114">
        <f t="shared" si="1"/>
        <v>60.746351400000002</v>
      </c>
      <c r="BN5" s="114">
        <f t="shared" ref="BN5:BS5" si="2">SUM(BN3:BN4)</f>
        <v>60.746351400000002</v>
      </c>
      <c r="BO5" s="114">
        <f t="shared" si="2"/>
        <v>92.746351400000009</v>
      </c>
      <c r="BP5" s="114">
        <f t="shared" si="2"/>
        <v>60.746351400000002</v>
      </c>
      <c r="BQ5" s="114">
        <f t="shared" si="2"/>
        <v>60.746351400000002</v>
      </c>
      <c r="BR5" s="114">
        <f t="shared" si="2"/>
        <v>60.746351400000002</v>
      </c>
      <c r="BS5" s="114">
        <f t="shared" si="2"/>
        <v>60.746351400000002</v>
      </c>
      <c r="BT5" s="113">
        <f>SUM(B5:BS5)</f>
        <v>4700.2445980000048</v>
      </c>
    </row>
    <row r="6" spans="1:72" x14ac:dyDescent="0.25">
      <c r="A6" s="109" t="s">
        <v>60</v>
      </c>
      <c r="B6" s="114">
        <f>B5</f>
        <v>92.746351400000009</v>
      </c>
      <c r="C6" s="114">
        <f t="shared" ref="C6:AH6" si="3">C5*(1+$B$28)^(C2-1)</f>
        <v>60.746351400000002</v>
      </c>
      <c r="D6" s="114">
        <f t="shared" si="3"/>
        <v>60.746351400000002</v>
      </c>
      <c r="E6" s="114">
        <f t="shared" si="3"/>
        <v>60.746351400000002</v>
      </c>
      <c r="F6" s="114">
        <f t="shared" si="3"/>
        <v>60.746351400000002</v>
      </c>
      <c r="G6" s="114">
        <f t="shared" si="3"/>
        <v>92.746351400000009</v>
      </c>
      <c r="H6" s="114">
        <f t="shared" si="3"/>
        <v>60.746351400000002</v>
      </c>
      <c r="I6" s="114">
        <f t="shared" si="3"/>
        <v>60.746351400000002</v>
      </c>
      <c r="J6" s="114">
        <f t="shared" si="3"/>
        <v>60.746351400000002</v>
      </c>
      <c r="K6" s="114">
        <f t="shared" si="3"/>
        <v>60.746351400000002</v>
      </c>
      <c r="L6" s="114">
        <f t="shared" si="3"/>
        <v>92.746351400000009</v>
      </c>
      <c r="M6" s="114">
        <f t="shared" si="3"/>
        <v>60.746351400000002</v>
      </c>
      <c r="N6" s="114">
        <f t="shared" si="3"/>
        <v>60.746351400000002</v>
      </c>
      <c r="O6" s="114">
        <f t="shared" si="3"/>
        <v>60.746351400000002</v>
      </c>
      <c r="P6" s="114">
        <f t="shared" si="3"/>
        <v>60.746351400000002</v>
      </c>
      <c r="Q6" s="114">
        <f t="shared" si="3"/>
        <v>92.746351400000009</v>
      </c>
      <c r="R6" s="114">
        <f t="shared" si="3"/>
        <v>60.746351400000002</v>
      </c>
      <c r="S6" s="114">
        <f t="shared" si="3"/>
        <v>60.746351400000002</v>
      </c>
      <c r="T6" s="114">
        <f t="shared" si="3"/>
        <v>60.746351400000002</v>
      </c>
      <c r="U6" s="114">
        <f t="shared" si="3"/>
        <v>60.746351400000002</v>
      </c>
      <c r="V6" s="114">
        <f t="shared" si="3"/>
        <v>92.746351400000009</v>
      </c>
      <c r="W6" s="114">
        <f t="shared" si="3"/>
        <v>60.746351400000002</v>
      </c>
      <c r="X6" s="114">
        <f t="shared" si="3"/>
        <v>60.746351400000002</v>
      </c>
      <c r="Y6" s="114">
        <f t="shared" si="3"/>
        <v>60.746351400000002</v>
      </c>
      <c r="Z6" s="114">
        <f t="shared" si="3"/>
        <v>60.746351400000002</v>
      </c>
      <c r="AA6" s="114">
        <f t="shared" si="3"/>
        <v>92.746351400000009</v>
      </c>
      <c r="AB6" s="114">
        <f t="shared" si="3"/>
        <v>60.746351400000002</v>
      </c>
      <c r="AC6" s="114">
        <f t="shared" si="3"/>
        <v>60.746351400000002</v>
      </c>
      <c r="AD6" s="114">
        <f t="shared" si="3"/>
        <v>60.746351400000002</v>
      </c>
      <c r="AE6" s="114">
        <f t="shared" si="3"/>
        <v>60.746351400000002</v>
      </c>
      <c r="AF6" s="114">
        <f t="shared" si="3"/>
        <v>92.746351400000009</v>
      </c>
      <c r="AG6" s="114">
        <f t="shared" si="3"/>
        <v>60.746351400000002</v>
      </c>
      <c r="AH6" s="114">
        <f t="shared" si="3"/>
        <v>60.746351400000002</v>
      </c>
      <c r="AI6" s="114">
        <f t="shared" ref="AI6:BN6" si="4">AI5*(1+$B$28)^(AI2-1)</f>
        <v>60.746351400000002</v>
      </c>
      <c r="AJ6" s="114">
        <f t="shared" si="4"/>
        <v>60.746351400000002</v>
      </c>
      <c r="AK6" s="114">
        <f t="shared" si="4"/>
        <v>92.746351400000009</v>
      </c>
      <c r="AL6" s="114">
        <f t="shared" si="4"/>
        <v>60.746351400000002</v>
      </c>
      <c r="AM6" s="114">
        <f t="shared" si="4"/>
        <v>60.746351400000002</v>
      </c>
      <c r="AN6" s="114">
        <f t="shared" si="4"/>
        <v>60.746351400000002</v>
      </c>
      <c r="AO6" s="114">
        <f t="shared" si="4"/>
        <v>60.746351400000002</v>
      </c>
      <c r="AP6" s="114">
        <f t="shared" si="4"/>
        <v>92.746351400000009</v>
      </c>
      <c r="AQ6" s="114">
        <f t="shared" si="4"/>
        <v>60.746351400000002</v>
      </c>
      <c r="AR6" s="114">
        <f t="shared" si="4"/>
        <v>60.746351400000002</v>
      </c>
      <c r="AS6" s="114">
        <f t="shared" si="4"/>
        <v>60.746351400000002</v>
      </c>
      <c r="AT6" s="114">
        <f t="shared" si="4"/>
        <v>60.746351400000002</v>
      </c>
      <c r="AU6" s="114">
        <f t="shared" si="4"/>
        <v>92.746351400000009</v>
      </c>
      <c r="AV6" s="114">
        <f t="shared" si="4"/>
        <v>60.746351400000002</v>
      </c>
      <c r="AW6" s="114">
        <f t="shared" si="4"/>
        <v>60.746351400000002</v>
      </c>
      <c r="AX6" s="114">
        <f t="shared" si="4"/>
        <v>60.746351400000002</v>
      </c>
      <c r="AY6" s="114">
        <f t="shared" si="4"/>
        <v>60.746351400000002</v>
      </c>
      <c r="AZ6" s="114">
        <f t="shared" si="4"/>
        <v>92.746351400000009</v>
      </c>
      <c r="BA6" s="114">
        <f t="shared" si="4"/>
        <v>60.746351400000002</v>
      </c>
      <c r="BB6" s="114">
        <f t="shared" si="4"/>
        <v>60.746351400000002</v>
      </c>
      <c r="BC6" s="114">
        <f t="shared" si="4"/>
        <v>60.746351400000002</v>
      </c>
      <c r="BD6" s="114">
        <f t="shared" si="4"/>
        <v>60.746351400000002</v>
      </c>
      <c r="BE6" s="114">
        <f t="shared" si="4"/>
        <v>92.746351400000009</v>
      </c>
      <c r="BF6" s="114">
        <f t="shared" si="4"/>
        <v>60.746351400000002</v>
      </c>
      <c r="BG6" s="114">
        <f t="shared" si="4"/>
        <v>60.746351400000002</v>
      </c>
      <c r="BH6" s="114">
        <f t="shared" si="4"/>
        <v>60.746351400000002</v>
      </c>
      <c r="BI6" s="114">
        <f t="shared" si="4"/>
        <v>60.746351400000002</v>
      </c>
      <c r="BJ6" s="114">
        <f t="shared" si="4"/>
        <v>92.746351400000009</v>
      </c>
      <c r="BK6" s="114">
        <f t="shared" si="4"/>
        <v>60.746351400000002</v>
      </c>
      <c r="BL6" s="114">
        <f t="shared" si="4"/>
        <v>60.746351400000002</v>
      </c>
      <c r="BM6" s="114">
        <f t="shared" si="4"/>
        <v>60.746351400000002</v>
      </c>
      <c r="BN6" s="114">
        <f t="shared" si="4"/>
        <v>60.746351400000002</v>
      </c>
      <c r="BO6" s="114">
        <f t="shared" ref="BO6:BS6" si="5">BO5*(1+$B$28)^(BO2-1)</f>
        <v>92.746351400000009</v>
      </c>
      <c r="BP6" s="114">
        <f t="shared" si="5"/>
        <v>60.746351400000002</v>
      </c>
      <c r="BQ6" s="114">
        <f t="shared" si="5"/>
        <v>60.746351400000002</v>
      </c>
      <c r="BR6" s="114">
        <f t="shared" si="5"/>
        <v>60.746351400000002</v>
      </c>
      <c r="BS6" s="114">
        <f t="shared" si="5"/>
        <v>60.746351400000002</v>
      </c>
      <c r="BT6" s="113">
        <f>SUM(B6:BS6)</f>
        <v>4700.2445980000048</v>
      </c>
    </row>
    <row r="7" spans="1:72" ht="15.75" thickBot="1" x14ac:dyDescent="0.3">
      <c r="A7" s="115" t="s">
        <v>59</v>
      </c>
      <c r="B7" s="116">
        <f>B6</f>
        <v>92.746351400000009</v>
      </c>
      <c r="C7" s="116">
        <f t="shared" ref="C7:AH7" si="6">C6/(1+$B$29)^(C2-1)</f>
        <v>58.977040194174755</v>
      </c>
      <c r="D7" s="116">
        <f t="shared" si="6"/>
        <v>57.259262324441515</v>
      </c>
      <c r="E7" s="116">
        <f t="shared" si="6"/>
        <v>55.591516819846127</v>
      </c>
      <c r="F7" s="116">
        <f t="shared" si="6"/>
        <v>53.972346427035085</v>
      </c>
      <c r="G7" s="116">
        <f t="shared" si="6"/>
        <v>80.003817437220519</v>
      </c>
      <c r="H7" s="116">
        <f t="shared" si="6"/>
        <v>50.874112948473069</v>
      </c>
      <c r="I7" s="116">
        <f t="shared" si="6"/>
        <v>49.392342668420454</v>
      </c>
      <c r="J7" s="116">
        <f t="shared" si="6"/>
        <v>47.953730746039284</v>
      </c>
      <c r="K7" s="116">
        <f t="shared" si="6"/>
        <v>46.557020141785706</v>
      </c>
      <c r="L7" s="116">
        <f t="shared" si="6"/>
        <v>69.011995705613373</v>
      </c>
      <c r="M7" s="116">
        <f t="shared" si="6"/>
        <v>43.884456727105011</v>
      </c>
      <c r="N7" s="116">
        <f t="shared" si="6"/>
        <v>42.606268667092252</v>
      </c>
      <c r="O7" s="116">
        <f t="shared" si="6"/>
        <v>41.365309385526459</v>
      </c>
      <c r="P7" s="116">
        <f t="shared" si="6"/>
        <v>40.16049454905481</v>
      </c>
      <c r="Q7" s="116">
        <f t="shared" si="6"/>
        <v>59.530353723544302</v>
      </c>
      <c r="R7" s="116">
        <f t="shared" si="6"/>
        <v>37.855117870727511</v>
      </c>
      <c r="S7" s="116">
        <f t="shared" si="6"/>
        <v>36.752541622065543</v>
      </c>
      <c r="T7" s="116">
        <f t="shared" si="6"/>
        <v>35.68207924472383</v>
      </c>
      <c r="U7" s="116">
        <f t="shared" si="6"/>
        <v>34.642795383227018</v>
      </c>
      <c r="V7" s="116">
        <f t="shared" si="6"/>
        <v>51.351406059425848</v>
      </c>
      <c r="W7" s="116">
        <f t="shared" si="6"/>
        <v>32.654157209187503</v>
      </c>
      <c r="X7" s="116">
        <f t="shared" si="6"/>
        <v>31.70306525163835</v>
      </c>
      <c r="Y7" s="116">
        <f t="shared" si="6"/>
        <v>30.779675001590629</v>
      </c>
      <c r="Z7" s="116">
        <f t="shared" si="6"/>
        <v>29.883179613194791</v>
      </c>
      <c r="AA7" s="116">
        <f t="shared" si="6"/>
        <v>44.296173957338929</v>
      </c>
      <c r="AB7" s="116">
        <f t="shared" si="6"/>
        <v>28.167762855306616</v>
      </c>
      <c r="AC7" s="116">
        <f t="shared" si="6"/>
        <v>27.347342577967591</v>
      </c>
      <c r="AD7" s="116">
        <f t="shared" si="6"/>
        <v>26.550818036861738</v>
      </c>
      <c r="AE7" s="116">
        <f t="shared" si="6"/>
        <v>25.777493239671593</v>
      </c>
      <c r="AF7" s="116">
        <f t="shared" si="6"/>
        <v>38.210268770209602</v>
      </c>
      <c r="AG7" s="116">
        <f t="shared" si="6"/>
        <v>24.297759675437447</v>
      </c>
      <c r="AH7" s="116">
        <f t="shared" si="6"/>
        <v>23.590057937317916</v>
      </c>
      <c r="AI7" s="116">
        <f t="shared" ref="AI7:BN7" si="7">AI6/(1+$B$29)^(AI2-1)</f>
        <v>22.902968871182441</v>
      </c>
      <c r="AJ7" s="116">
        <f t="shared" si="7"/>
        <v>22.235892107944121</v>
      </c>
      <c r="AK7" s="116">
        <f t="shared" si="7"/>
        <v>32.960513494862688</v>
      </c>
      <c r="AL7" s="116">
        <f t="shared" si="7"/>
        <v>20.959460936887659</v>
      </c>
      <c r="AM7" s="116">
        <f t="shared" si="7"/>
        <v>20.348991200861811</v>
      </c>
      <c r="AN7" s="116">
        <f t="shared" si="7"/>
        <v>19.756302136759036</v>
      </c>
      <c r="AO7" s="116">
        <f t="shared" si="7"/>
        <v>19.180875860931103</v>
      </c>
      <c r="AP7" s="116">
        <f t="shared" si="7"/>
        <v>28.432028478481342</v>
      </c>
      <c r="AQ7" s="116">
        <f t="shared" si="7"/>
        <v>18.079815120116038</v>
      </c>
      <c r="AR7" s="116">
        <f t="shared" si="7"/>
        <v>17.553218563219453</v>
      </c>
      <c r="AS7" s="116">
        <f t="shared" si="7"/>
        <v>17.041959770115973</v>
      </c>
      <c r="AT7" s="116">
        <f t="shared" si="7"/>
        <v>16.545592009821338</v>
      </c>
      <c r="AU7" s="116">
        <f t="shared" si="7"/>
        <v>24.525717523398722</v>
      </c>
      <c r="AV7" s="116">
        <f t="shared" si="7"/>
        <v>15.595807342653725</v>
      </c>
      <c r="AW7" s="116">
        <f t="shared" si="7"/>
        <v>15.141560526848274</v>
      </c>
      <c r="AX7" s="116">
        <f t="shared" si="7"/>
        <v>14.700544200823568</v>
      </c>
      <c r="AY7" s="116">
        <f t="shared" si="7"/>
        <v>14.272373010508321</v>
      </c>
      <c r="AZ7" s="116">
        <f t="shared" si="7"/>
        <v>21.156099379008364</v>
      </c>
      <c r="BA7" s="116">
        <f t="shared" si="7"/>
        <v>13.453080413336149</v>
      </c>
      <c r="BB7" s="116">
        <f t="shared" si="7"/>
        <v>13.061243119743834</v>
      </c>
      <c r="BC7" s="116">
        <f t="shared" si="7"/>
        <v>12.680818562858093</v>
      </c>
      <c r="BD7" s="116">
        <f t="shared" si="7"/>
        <v>12.311474332871933</v>
      </c>
      <c r="BE7" s="116">
        <f t="shared" si="7"/>
        <v>18.24943716763697</v>
      </c>
      <c r="BF7" s="116">
        <f t="shared" si="7"/>
        <v>11.604745341570304</v>
      </c>
      <c r="BG7" s="116">
        <f t="shared" si="7"/>
        <v>11.266743050068255</v>
      </c>
      <c r="BH7" s="116">
        <f t="shared" si="7"/>
        <v>10.938585485503161</v>
      </c>
      <c r="BI7" s="116">
        <f t="shared" si="7"/>
        <v>10.619985908255495</v>
      </c>
      <c r="BJ7" s="116">
        <f t="shared" si="7"/>
        <v>15.742124810870509</v>
      </c>
      <c r="BK7" s="116">
        <f t="shared" si="7"/>
        <v>10.010355272179751</v>
      </c>
      <c r="BL7" s="116">
        <f t="shared" si="7"/>
        <v>9.7187915263881077</v>
      </c>
      <c r="BM7" s="116">
        <f t="shared" si="7"/>
        <v>9.4357199285321425</v>
      </c>
      <c r="BN7" s="116">
        <f t="shared" si="7"/>
        <v>9.1608931344972273</v>
      </c>
      <c r="BO7" s="116">
        <f t="shared" ref="BO7:BS7" si="8">BO6/(1+$B$29)^(BO2-1)</f>
        <v>13.5792951467288</v>
      </c>
      <c r="BP7" s="116">
        <f t="shared" si="8"/>
        <v>8.6350203925885829</v>
      </c>
      <c r="BQ7" s="116">
        <f t="shared" si="8"/>
        <v>8.3835149442607584</v>
      </c>
      <c r="BR7" s="116">
        <f t="shared" si="8"/>
        <v>8.1393348973405431</v>
      </c>
      <c r="BS7" s="116">
        <f t="shared" si="8"/>
        <v>7.9022668906218874</v>
      </c>
      <c r="BT7" s="117">
        <f>SUM(B7:BS7)</f>
        <v>2025.711265031541</v>
      </c>
    </row>
    <row r="8" spans="1:72" ht="15.75" thickBot="1" x14ac:dyDescent="0.3"/>
    <row r="9" spans="1:72" x14ac:dyDescent="0.25">
      <c r="A9" s="103" t="s">
        <v>54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5"/>
    </row>
    <row r="10" spans="1:72" s="45" customFormat="1" x14ac:dyDescent="0.25">
      <c r="A10" s="106"/>
      <c r="B10" s="107">
        <v>1</v>
      </c>
      <c r="C10" s="107">
        <v>2</v>
      </c>
      <c r="D10" s="107">
        <v>3</v>
      </c>
      <c r="E10" s="107">
        <v>4</v>
      </c>
      <c r="F10" s="107">
        <v>5</v>
      </c>
      <c r="G10" s="107">
        <v>6</v>
      </c>
      <c r="H10" s="107">
        <v>7</v>
      </c>
      <c r="I10" s="107">
        <v>8</v>
      </c>
      <c r="J10" s="107">
        <v>9</v>
      </c>
      <c r="K10" s="107">
        <v>10</v>
      </c>
      <c r="L10" s="107">
        <v>11</v>
      </c>
      <c r="M10" s="107">
        <v>12</v>
      </c>
      <c r="N10" s="107">
        <v>13</v>
      </c>
      <c r="O10" s="107">
        <v>14</v>
      </c>
      <c r="P10" s="107">
        <v>15</v>
      </c>
      <c r="Q10" s="107">
        <v>16</v>
      </c>
      <c r="R10" s="107">
        <v>17</v>
      </c>
      <c r="S10" s="107">
        <v>18</v>
      </c>
      <c r="T10" s="107">
        <v>19</v>
      </c>
      <c r="U10" s="107">
        <v>20</v>
      </c>
      <c r="V10" s="107">
        <v>21</v>
      </c>
      <c r="W10" s="107">
        <v>22</v>
      </c>
      <c r="X10" s="107">
        <v>23</v>
      </c>
      <c r="Y10" s="107">
        <v>24</v>
      </c>
      <c r="Z10" s="107">
        <v>25</v>
      </c>
      <c r="AA10" s="107">
        <v>26</v>
      </c>
      <c r="AB10" s="107">
        <v>27</v>
      </c>
      <c r="AC10" s="107">
        <v>28</v>
      </c>
      <c r="AD10" s="107">
        <v>29</v>
      </c>
      <c r="AE10" s="107">
        <v>30</v>
      </c>
      <c r="AF10" s="107">
        <v>31</v>
      </c>
      <c r="AG10" s="107">
        <v>32</v>
      </c>
      <c r="AH10" s="107">
        <v>33</v>
      </c>
      <c r="AI10" s="107">
        <v>34</v>
      </c>
      <c r="AJ10" s="107">
        <v>35</v>
      </c>
      <c r="AK10" s="107">
        <v>36</v>
      </c>
      <c r="AL10" s="107">
        <v>37</v>
      </c>
      <c r="AM10" s="107">
        <v>38</v>
      </c>
      <c r="AN10" s="107">
        <v>39</v>
      </c>
      <c r="AO10" s="107">
        <v>40</v>
      </c>
      <c r="AP10" s="107">
        <v>41</v>
      </c>
      <c r="AQ10" s="107">
        <v>42</v>
      </c>
      <c r="AR10" s="107">
        <v>43</v>
      </c>
      <c r="AS10" s="107">
        <v>44</v>
      </c>
      <c r="AT10" s="107">
        <v>45</v>
      </c>
      <c r="AU10" s="107">
        <v>46</v>
      </c>
      <c r="AV10" s="107">
        <v>47</v>
      </c>
      <c r="AW10" s="107">
        <v>48</v>
      </c>
      <c r="AX10" s="107">
        <v>49</v>
      </c>
      <c r="AY10" s="107">
        <v>50</v>
      </c>
      <c r="AZ10" s="107">
        <v>51</v>
      </c>
      <c r="BA10" s="107">
        <v>52</v>
      </c>
      <c r="BB10" s="107">
        <v>53</v>
      </c>
      <c r="BC10" s="107">
        <v>54</v>
      </c>
      <c r="BD10" s="107">
        <v>55</v>
      </c>
      <c r="BE10" s="107">
        <v>56</v>
      </c>
      <c r="BF10" s="107">
        <v>57</v>
      </c>
      <c r="BG10" s="107">
        <v>58</v>
      </c>
      <c r="BH10" s="107">
        <v>59</v>
      </c>
      <c r="BI10" s="107">
        <v>60</v>
      </c>
      <c r="BJ10" s="107">
        <v>61</v>
      </c>
      <c r="BK10" s="107">
        <v>62</v>
      </c>
      <c r="BL10" s="107">
        <v>63</v>
      </c>
      <c r="BM10" s="107">
        <v>64</v>
      </c>
      <c r="BN10" s="107">
        <v>65</v>
      </c>
      <c r="BO10" s="107">
        <v>66</v>
      </c>
      <c r="BP10" s="107">
        <v>67</v>
      </c>
      <c r="BQ10" s="107">
        <v>68</v>
      </c>
      <c r="BR10" s="107">
        <v>69</v>
      </c>
      <c r="BS10" s="107">
        <v>70</v>
      </c>
      <c r="BT10" s="108"/>
    </row>
    <row r="11" spans="1:72" x14ac:dyDescent="0.25">
      <c r="A11" s="109" t="s">
        <v>64</v>
      </c>
      <c r="B11" s="110">
        <v>318</v>
      </c>
      <c r="C11" s="110"/>
      <c r="D11" s="110"/>
      <c r="E11" s="110"/>
      <c r="F11" s="110"/>
      <c r="G11" s="110">
        <v>318</v>
      </c>
      <c r="H11" s="110"/>
      <c r="I11" s="110"/>
      <c r="J11" s="110"/>
      <c r="K11" s="110"/>
      <c r="L11" s="110">
        <v>318</v>
      </c>
      <c r="M11" s="110"/>
      <c r="N11" s="110"/>
      <c r="O11" s="110"/>
      <c r="P11" s="110"/>
      <c r="Q11" s="110">
        <v>318</v>
      </c>
      <c r="R11" s="110"/>
      <c r="S11" s="110"/>
      <c r="T11" s="110"/>
      <c r="U11" s="110"/>
      <c r="V11" s="110">
        <v>318</v>
      </c>
      <c r="W11" s="110"/>
      <c r="X11" s="110"/>
      <c r="Y11" s="110"/>
      <c r="Z11" s="110"/>
      <c r="AA11" s="110">
        <v>318</v>
      </c>
      <c r="AB11" s="110"/>
      <c r="AC11" s="110"/>
      <c r="AD11" s="110"/>
      <c r="AE11" s="110"/>
      <c r="AF11" s="110">
        <v>318</v>
      </c>
      <c r="AG11" s="110"/>
      <c r="AH11" s="110"/>
      <c r="AI11" s="110"/>
      <c r="AJ11" s="110"/>
      <c r="AK11" s="110">
        <v>318</v>
      </c>
      <c r="AL11" s="110"/>
      <c r="AM11" s="110"/>
      <c r="AN11" s="110"/>
      <c r="AO11" s="110"/>
      <c r="AP11" s="110">
        <v>318</v>
      </c>
      <c r="AQ11" s="110"/>
      <c r="AR11" s="110"/>
      <c r="AS11" s="110"/>
      <c r="AT11" s="110"/>
      <c r="AU11" s="110">
        <v>318</v>
      </c>
      <c r="AV11" s="110"/>
      <c r="AW11" s="110"/>
      <c r="AX11" s="110"/>
      <c r="AY11" s="110"/>
      <c r="AZ11" s="110">
        <v>318</v>
      </c>
      <c r="BA11" s="110"/>
      <c r="BB11" s="110"/>
      <c r="BC11" s="110"/>
      <c r="BD11" s="110"/>
      <c r="BE11" s="110">
        <v>318</v>
      </c>
      <c r="BF11" s="110"/>
      <c r="BG11" s="110"/>
      <c r="BH11" s="110"/>
      <c r="BI11" s="110"/>
      <c r="BJ11" s="110">
        <v>318</v>
      </c>
      <c r="BK11" s="110"/>
      <c r="BL11" s="110"/>
      <c r="BM11" s="110"/>
      <c r="BN11" s="110"/>
      <c r="BO11" s="110">
        <v>318</v>
      </c>
      <c r="BP11" s="110"/>
      <c r="BQ11" s="110"/>
      <c r="BR11" s="110"/>
      <c r="BS11" s="110"/>
      <c r="BT11" s="111"/>
    </row>
    <row r="12" spans="1:72" x14ac:dyDescent="0.25">
      <c r="A12" s="109" t="s">
        <v>63</v>
      </c>
      <c r="B12" s="110"/>
      <c r="C12" s="110">
        <v>65</v>
      </c>
      <c r="D12" s="110">
        <v>65</v>
      </c>
      <c r="E12" s="110">
        <v>65</v>
      </c>
      <c r="F12" s="110">
        <v>65</v>
      </c>
      <c r="G12" s="110"/>
      <c r="H12" s="110">
        <v>65</v>
      </c>
      <c r="I12" s="110">
        <v>65</v>
      </c>
      <c r="J12" s="110">
        <v>65</v>
      </c>
      <c r="K12" s="110">
        <v>65</v>
      </c>
      <c r="L12" s="110"/>
      <c r="M12" s="110">
        <v>65</v>
      </c>
      <c r="N12" s="110">
        <v>65</v>
      </c>
      <c r="O12" s="110">
        <v>65</v>
      </c>
      <c r="P12" s="110">
        <v>65</v>
      </c>
      <c r="Q12" s="110"/>
      <c r="R12" s="110">
        <v>65</v>
      </c>
      <c r="S12" s="110">
        <v>65</v>
      </c>
      <c r="T12" s="110">
        <v>65</v>
      </c>
      <c r="U12" s="110">
        <v>65</v>
      </c>
      <c r="V12" s="110"/>
      <c r="W12" s="110">
        <v>65</v>
      </c>
      <c r="X12" s="110">
        <v>65</v>
      </c>
      <c r="Y12" s="110">
        <v>65</v>
      </c>
      <c r="Z12" s="110">
        <v>65</v>
      </c>
      <c r="AA12" s="110"/>
      <c r="AB12" s="110">
        <v>65</v>
      </c>
      <c r="AC12" s="110">
        <v>65</v>
      </c>
      <c r="AD12" s="110">
        <v>65</v>
      </c>
      <c r="AE12" s="110">
        <v>65</v>
      </c>
      <c r="AF12" s="110"/>
      <c r="AG12" s="110">
        <v>65</v>
      </c>
      <c r="AH12" s="110">
        <v>65</v>
      </c>
      <c r="AI12" s="110">
        <v>65</v>
      </c>
      <c r="AJ12" s="110">
        <v>65</v>
      </c>
      <c r="AK12" s="110"/>
      <c r="AL12" s="110">
        <v>65</v>
      </c>
      <c r="AM12" s="110">
        <v>65</v>
      </c>
      <c r="AN12" s="110">
        <v>65</v>
      </c>
      <c r="AO12" s="110">
        <v>65</v>
      </c>
      <c r="AP12" s="110"/>
      <c r="AQ12" s="110">
        <v>65</v>
      </c>
      <c r="AR12" s="110">
        <v>65</v>
      </c>
      <c r="AS12" s="110">
        <v>65</v>
      </c>
      <c r="AT12" s="110">
        <v>65</v>
      </c>
      <c r="AU12" s="110"/>
      <c r="AV12" s="110">
        <v>65</v>
      </c>
      <c r="AW12" s="110">
        <v>65</v>
      </c>
      <c r="AX12" s="110">
        <v>65</v>
      </c>
      <c r="AY12" s="110">
        <v>65</v>
      </c>
      <c r="AZ12" s="110"/>
      <c r="BA12" s="110">
        <v>65</v>
      </c>
      <c r="BB12" s="110">
        <v>65</v>
      </c>
      <c r="BC12" s="110">
        <v>65</v>
      </c>
      <c r="BD12" s="110">
        <v>65</v>
      </c>
      <c r="BE12" s="110"/>
      <c r="BF12" s="110">
        <v>65</v>
      </c>
      <c r="BG12" s="110">
        <v>65</v>
      </c>
      <c r="BH12" s="110">
        <v>65</v>
      </c>
      <c r="BI12" s="110">
        <v>65</v>
      </c>
      <c r="BJ12" s="110"/>
      <c r="BK12" s="110">
        <v>65</v>
      </c>
      <c r="BL12" s="110">
        <v>65</v>
      </c>
      <c r="BM12" s="110">
        <v>65</v>
      </c>
      <c r="BN12" s="110">
        <v>65</v>
      </c>
      <c r="BO12" s="110"/>
      <c r="BP12" s="110">
        <v>65</v>
      </c>
      <c r="BQ12" s="110">
        <v>65</v>
      </c>
      <c r="BR12" s="110">
        <v>65</v>
      </c>
      <c r="BS12" s="110">
        <v>65</v>
      </c>
      <c r="BT12" s="111"/>
    </row>
    <row r="13" spans="1:72" x14ac:dyDescent="0.25">
      <c r="A13" s="109" t="s">
        <v>62</v>
      </c>
      <c r="B13" s="110"/>
      <c r="C13" s="110"/>
      <c r="D13" s="110">
        <v>35</v>
      </c>
      <c r="E13" s="110"/>
      <c r="F13" s="110">
        <v>35</v>
      </c>
      <c r="G13" s="110"/>
      <c r="H13" s="110"/>
      <c r="I13" s="110">
        <v>35</v>
      </c>
      <c r="J13" s="110"/>
      <c r="K13" s="110">
        <v>35</v>
      </c>
      <c r="L13" s="110"/>
      <c r="M13" s="110"/>
      <c r="N13" s="110">
        <v>35</v>
      </c>
      <c r="O13" s="110"/>
      <c r="P13" s="110">
        <v>35</v>
      </c>
      <c r="Q13" s="110"/>
      <c r="R13" s="110"/>
      <c r="S13" s="110">
        <v>35</v>
      </c>
      <c r="T13" s="110"/>
      <c r="U13" s="110">
        <v>35</v>
      </c>
      <c r="V13" s="110"/>
      <c r="W13" s="110"/>
      <c r="X13" s="110">
        <v>35</v>
      </c>
      <c r="Y13" s="110"/>
      <c r="Z13" s="110">
        <v>35</v>
      </c>
      <c r="AA13" s="110"/>
      <c r="AB13" s="110"/>
      <c r="AC13" s="110">
        <v>35</v>
      </c>
      <c r="AD13" s="110"/>
      <c r="AE13" s="110">
        <v>35</v>
      </c>
      <c r="AF13" s="110"/>
      <c r="AG13" s="110"/>
      <c r="AH13" s="110">
        <v>35</v>
      </c>
      <c r="AI13" s="110"/>
      <c r="AJ13" s="110">
        <v>35</v>
      </c>
      <c r="AK13" s="110"/>
      <c r="AL13" s="110"/>
      <c r="AM13" s="110">
        <v>35</v>
      </c>
      <c r="AN13" s="110"/>
      <c r="AO13" s="110">
        <v>35</v>
      </c>
      <c r="AP13" s="110"/>
      <c r="AQ13" s="110"/>
      <c r="AR13" s="110">
        <v>35</v>
      </c>
      <c r="AS13" s="110"/>
      <c r="AT13" s="110">
        <v>35</v>
      </c>
      <c r="AU13" s="110"/>
      <c r="AV13" s="110"/>
      <c r="AW13" s="110">
        <v>35</v>
      </c>
      <c r="AX13" s="110"/>
      <c r="AY13" s="110">
        <v>35</v>
      </c>
      <c r="AZ13" s="110"/>
      <c r="BA13" s="110"/>
      <c r="BB13" s="110">
        <v>35</v>
      </c>
      <c r="BC13" s="110"/>
      <c r="BD13" s="110">
        <v>35</v>
      </c>
      <c r="BE13" s="110"/>
      <c r="BF13" s="110"/>
      <c r="BG13" s="110">
        <v>35</v>
      </c>
      <c r="BH13" s="110"/>
      <c r="BI13" s="110">
        <v>35</v>
      </c>
      <c r="BJ13" s="110"/>
      <c r="BK13" s="110"/>
      <c r="BL13" s="110">
        <v>35</v>
      </c>
      <c r="BM13" s="110"/>
      <c r="BN13" s="110">
        <v>35</v>
      </c>
      <c r="BO13" s="110"/>
      <c r="BP13" s="110"/>
      <c r="BQ13" s="110">
        <v>35</v>
      </c>
      <c r="BR13" s="110"/>
      <c r="BS13" s="110">
        <v>35</v>
      </c>
      <c r="BT13" s="111"/>
    </row>
    <row r="14" spans="1:72" x14ac:dyDescent="0.25">
      <c r="A14" s="112" t="s">
        <v>61</v>
      </c>
      <c r="B14" s="110">
        <f t="shared" ref="B14:AG14" si="9">SUM(B11:B13)</f>
        <v>318</v>
      </c>
      <c r="C14" s="110">
        <f t="shared" si="9"/>
        <v>65</v>
      </c>
      <c r="D14" s="110">
        <f t="shared" si="9"/>
        <v>100</v>
      </c>
      <c r="E14" s="110">
        <f t="shared" si="9"/>
        <v>65</v>
      </c>
      <c r="F14" s="110">
        <f t="shared" si="9"/>
        <v>100</v>
      </c>
      <c r="G14" s="110">
        <f t="shared" si="9"/>
        <v>318</v>
      </c>
      <c r="H14" s="110">
        <f t="shared" si="9"/>
        <v>65</v>
      </c>
      <c r="I14" s="110">
        <f t="shared" si="9"/>
        <v>100</v>
      </c>
      <c r="J14" s="110">
        <f t="shared" si="9"/>
        <v>65</v>
      </c>
      <c r="K14" s="110">
        <f t="shared" si="9"/>
        <v>100</v>
      </c>
      <c r="L14" s="110">
        <f t="shared" si="9"/>
        <v>318</v>
      </c>
      <c r="M14" s="110">
        <f t="shared" si="9"/>
        <v>65</v>
      </c>
      <c r="N14" s="110">
        <f t="shared" si="9"/>
        <v>100</v>
      </c>
      <c r="O14" s="110">
        <f t="shared" si="9"/>
        <v>65</v>
      </c>
      <c r="P14" s="110">
        <f t="shared" si="9"/>
        <v>100</v>
      </c>
      <c r="Q14" s="110">
        <f t="shared" si="9"/>
        <v>318</v>
      </c>
      <c r="R14" s="110">
        <f t="shared" si="9"/>
        <v>65</v>
      </c>
      <c r="S14" s="110">
        <f t="shared" si="9"/>
        <v>100</v>
      </c>
      <c r="T14" s="110">
        <f t="shared" si="9"/>
        <v>65</v>
      </c>
      <c r="U14" s="110">
        <f t="shared" si="9"/>
        <v>100</v>
      </c>
      <c r="V14" s="110">
        <f t="shared" si="9"/>
        <v>318</v>
      </c>
      <c r="W14" s="110">
        <f t="shared" si="9"/>
        <v>65</v>
      </c>
      <c r="X14" s="110">
        <f t="shared" si="9"/>
        <v>100</v>
      </c>
      <c r="Y14" s="110">
        <f t="shared" si="9"/>
        <v>65</v>
      </c>
      <c r="Z14" s="110">
        <f t="shared" si="9"/>
        <v>100</v>
      </c>
      <c r="AA14" s="110">
        <f t="shared" si="9"/>
        <v>318</v>
      </c>
      <c r="AB14" s="110">
        <f t="shared" si="9"/>
        <v>65</v>
      </c>
      <c r="AC14" s="110">
        <f t="shared" si="9"/>
        <v>100</v>
      </c>
      <c r="AD14" s="110">
        <f t="shared" si="9"/>
        <v>65</v>
      </c>
      <c r="AE14" s="110">
        <f t="shared" si="9"/>
        <v>100</v>
      </c>
      <c r="AF14" s="110">
        <f t="shared" si="9"/>
        <v>318</v>
      </c>
      <c r="AG14" s="110">
        <f t="shared" si="9"/>
        <v>65</v>
      </c>
      <c r="AH14" s="110">
        <f t="shared" ref="AH14:BM14" si="10">SUM(AH11:AH13)</f>
        <v>100</v>
      </c>
      <c r="AI14" s="110">
        <f t="shared" si="10"/>
        <v>65</v>
      </c>
      <c r="AJ14" s="110">
        <f t="shared" si="10"/>
        <v>100</v>
      </c>
      <c r="AK14" s="110">
        <f t="shared" si="10"/>
        <v>318</v>
      </c>
      <c r="AL14" s="110">
        <f t="shared" si="10"/>
        <v>65</v>
      </c>
      <c r="AM14" s="110">
        <f t="shared" si="10"/>
        <v>100</v>
      </c>
      <c r="AN14" s="110">
        <f t="shared" si="10"/>
        <v>65</v>
      </c>
      <c r="AO14" s="110">
        <f t="shared" si="10"/>
        <v>100</v>
      </c>
      <c r="AP14" s="110">
        <f t="shared" si="10"/>
        <v>318</v>
      </c>
      <c r="AQ14" s="110">
        <f t="shared" si="10"/>
        <v>65</v>
      </c>
      <c r="AR14" s="110">
        <f t="shared" si="10"/>
        <v>100</v>
      </c>
      <c r="AS14" s="110">
        <f t="shared" si="10"/>
        <v>65</v>
      </c>
      <c r="AT14" s="110">
        <f t="shared" si="10"/>
        <v>100</v>
      </c>
      <c r="AU14" s="110">
        <f t="shared" si="10"/>
        <v>318</v>
      </c>
      <c r="AV14" s="110">
        <f t="shared" si="10"/>
        <v>65</v>
      </c>
      <c r="AW14" s="110">
        <f t="shared" si="10"/>
        <v>100</v>
      </c>
      <c r="AX14" s="110">
        <f t="shared" si="10"/>
        <v>65</v>
      </c>
      <c r="AY14" s="110">
        <f t="shared" si="10"/>
        <v>100</v>
      </c>
      <c r="AZ14" s="110">
        <f t="shared" si="10"/>
        <v>318</v>
      </c>
      <c r="BA14" s="110">
        <f t="shared" si="10"/>
        <v>65</v>
      </c>
      <c r="BB14" s="110">
        <f t="shared" si="10"/>
        <v>100</v>
      </c>
      <c r="BC14" s="110">
        <f t="shared" si="10"/>
        <v>65</v>
      </c>
      <c r="BD14" s="110">
        <f t="shared" si="10"/>
        <v>100</v>
      </c>
      <c r="BE14" s="110">
        <f t="shared" si="10"/>
        <v>318</v>
      </c>
      <c r="BF14" s="110">
        <f t="shared" si="10"/>
        <v>65</v>
      </c>
      <c r="BG14" s="110">
        <f t="shared" si="10"/>
        <v>100</v>
      </c>
      <c r="BH14" s="110">
        <f t="shared" si="10"/>
        <v>65</v>
      </c>
      <c r="BI14" s="110">
        <f t="shared" si="10"/>
        <v>100</v>
      </c>
      <c r="BJ14" s="110">
        <f t="shared" si="10"/>
        <v>318</v>
      </c>
      <c r="BK14" s="110">
        <f t="shared" si="10"/>
        <v>65</v>
      </c>
      <c r="BL14" s="110">
        <f t="shared" si="10"/>
        <v>100</v>
      </c>
      <c r="BM14" s="110">
        <f t="shared" si="10"/>
        <v>65</v>
      </c>
      <c r="BN14" s="110">
        <f t="shared" ref="BN14:BS14" si="11">SUM(BN11:BN13)</f>
        <v>100</v>
      </c>
      <c r="BO14" s="110">
        <f t="shared" si="11"/>
        <v>318</v>
      </c>
      <c r="BP14" s="110">
        <f t="shared" si="11"/>
        <v>65</v>
      </c>
      <c r="BQ14" s="110">
        <f t="shared" si="11"/>
        <v>100</v>
      </c>
      <c r="BR14" s="110">
        <f t="shared" si="11"/>
        <v>65</v>
      </c>
      <c r="BS14" s="110">
        <f t="shared" si="11"/>
        <v>100</v>
      </c>
      <c r="BT14" s="113">
        <f>SUM(B14:BS14)</f>
        <v>9072</v>
      </c>
    </row>
    <row r="15" spans="1:72" x14ac:dyDescent="0.25">
      <c r="A15" s="109" t="s">
        <v>60</v>
      </c>
      <c r="B15" s="114">
        <f>B14</f>
        <v>318</v>
      </c>
      <c r="C15" s="114">
        <f t="shared" ref="C15:AH15" si="12">C14*(1+$B$28)^(C10-1)</f>
        <v>65</v>
      </c>
      <c r="D15" s="114">
        <f t="shared" si="12"/>
        <v>100</v>
      </c>
      <c r="E15" s="114">
        <f t="shared" si="12"/>
        <v>65</v>
      </c>
      <c r="F15" s="114">
        <f t="shared" si="12"/>
        <v>100</v>
      </c>
      <c r="G15" s="114">
        <f t="shared" si="12"/>
        <v>318</v>
      </c>
      <c r="H15" s="114">
        <f t="shared" si="12"/>
        <v>65</v>
      </c>
      <c r="I15" s="114">
        <f t="shared" si="12"/>
        <v>100</v>
      </c>
      <c r="J15" s="114">
        <f t="shared" si="12"/>
        <v>65</v>
      </c>
      <c r="K15" s="114">
        <f t="shared" si="12"/>
        <v>100</v>
      </c>
      <c r="L15" s="114">
        <f t="shared" si="12"/>
        <v>318</v>
      </c>
      <c r="M15" s="114">
        <f t="shared" si="12"/>
        <v>65</v>
      </c>
      <c r="N15" s="114">
        <f t="shared" si="12"/>
        <v>100</v>
      </c>
      <c r="O15" s="114">
        <f t="shared" si="12"/>
        <v>65</v>
      </c>
      <c r="P15" s="114">
        <f t="shared" si="12"/>
        <v>100</v>
      </c>
      <c r="Q15" s="114">
        <f t="shared" si="12"/>
        <v>318</v>
      </c>
      <c r="R15" s="114">
        <f t="shared" si="12"/>
        <v>65</v>
      </c>
      <c r="S15" s="114">
        <f t="shared" si="12"/>
        <v>100</v>
      </c>
      <c r="T15" s="114">
        <f t="shared" si="12"/>
        <v>65</v>
      </c>
      <c r="U15" s="114">
        <f t="shared" si="12"/>
        <v>100</v>
      </c>
      <c r="V15" s="114">
        <f t="shared" si="12"/>
        <v>318</v>
      </c>
      <c r="W15" s="114">
        <f t="shared" si="12"/>
        <v>65</v>
      </c>
      <c r="X15" s="114">
        <f t="shared" si="12"/>
        <v>100</v>
      </c>
      <c r="Y15" s="114">
        <f t="shared" si="12"/>
        <v>65</v>
      </c>
      <c r="Z15" s="114">
        <f t="shared" si="12"/>
        <v>100</v>
      </c>
      <c r="AA15" s="114">
        <f t="shared" si="12"/>
        <v>318</v>
      </c>
      <c r="AB15" s="114">
        <f t="shared" si="12"/>
        <v>65</v>
      </c>
      <c r="AC15" s="114">
        <f t="shared" si="12"/>
        <v>100</v>
      </c>
      <c r="AD15" s="114">
        <f t="shared" si="12"/>
        <v>65</v>
      </c>
      <c r="AE15" s="114">
        <f t="shared" si="12"/>
        <v>100</v>
      </c>
      <c r="AF15" s="114">
        <f t="shared" si="12"/>
        <v>318</v>
      </c>
      <c r="AG15" s="114">
        <f t="shared" si="12"/>
        <v>65</v>
      </c>
      <c r="AH15" s="114">
        <f t="shared" si="12"/>
        <v>100</v>
      </c>
      <c r="AI15" s="114">
        <f t="shared" ref="AI15:BN15" si="13">AI14*(1+$B$28)^(AI10-1)</f>
        <v>65</v>
      </c>
      <c r="AJ15" s="114">
        <f t="shared" si="13"/>
        <v>100</v>
      </c>
      <c r="AK15" s="114">
        <f t="shared" si="13"/>
        <v>318</v>
      </c>
      <c r="AL15" s="114">
        <f t="shared" si="13"/>
        <v>65</v>
      </c>
      <c r="AM15" s="114">
        <f t="shared" si="13"/>
        <v>100</v>
      </c>
      <c r="AN15" s="114">
        <f t="shared" si="13"/>
        <v>65</v>
      </c>
      <c r="AO15" s="114">
        <f t="shared" si="13"/>
        <v>100</v>
      </c>
      <c r="AP15" s="114">
        <f t="shared" si="13"/>
        <v>318</v>
      </c>
      <c r="AQ15" s="114">
        <f t="shared" si="13"/>
        <v>65</v>
      </c>
      <c r="AR15" s="114">
        <f t="shared" si="13"/>
        <v>100</v>
      </c>
      <c r="AS15" s="114">
        <f t="shared" si="13"/>
        <v>65</v>
      </c>
      <c r="AT15" s="114">
        <f t="shared" si="13"/>
        <v>100</v>
      </c>
      <c r="AU15" s="114">
        <f t="shared" si="13"/>
        <v>318</v>
      </c>
      <c r="AV15" s="114">
        <f t="shared" si="13"/>
        <v>65</v>
      </c>
      <c r="AW15" s="114">
        <f t="shared" si="13"/>
        <v>100</v>
      </c>
      <c r="AX15" s="114">
        <f t="shared" si="13"/>
        <v>65</v>
      </c>
      <c r="AY15" s="114">
        <f t="shared" si="13"/>
        <v>100</v>
      </c>
      <c r="AZ15" s="114">
        <f t="shared" si="13"/>
        <v>318</v>
      </c>
      <c r="BA15" s="114">
        <f t="shared" si="13"/>
        <v>65</v>
      </c>
      <c r="BB15" s="114">
        <f t="shared" si="13"/>
        <v>100</v>
      </c>
      <c r="BC15" s="114">
        <f t="shared" si="13"/>
        <v>65</v>
      </c>
      <c r="BD15" s="114">
        <f t="shared" si="13"/>
        <v>100</v>
      </c>
      <c r="BE15" s="114">
        <f t="shared" si="13"/>
        <v>318</v>
      </c>
      <c r="BF15" s="114">
        <f t="shared" si="13"/>
        <v>65</v>
      </c>
      <c r="BG15" s="114">
        <f t="shared" si="13"/>
        <v>100</v>
      </c>
      <c r="BH15" s="114">
        <f t="shared" si="13"/>
        <v>65</v>
      </c>
      <c r="BI15" s="114">
        <f t="shared" si="13"/>
        <v>100</v>
      </c>
      <c r="BJ15" s="114">
        <f t="shared" si="13"/>
        <v>318</v>
      </c>
      <c r="BK15" s="114">
        <f t="shared" si="13"/>
        <v>65</v>
      </c>
      <c r="BL15" s="114">
        <f t="shared" si="13"/>
        <v>100</v>
      </c>
      <c r="BM15" s="114">
        <f t="shared" si="13"/>
        <v>65</v>
      </c>
      <c r="BN15" s="114">
        <f t="shared" si="13"/>
        <v>100</v>
      </c>
      <c r="BO15" s="114">
        <f t="shared" ref="BO15:BS15" si="14">BO14*(1+$B$28)^(BO10-1)</f>
        <v>318</v>
      </c>
      <c r="BP15" s="114">
        <f t="shared" si="14"/>
        <v>65</v>
      </c>
      <c r="BQ15" s="114">
        <f t="shared" si="14"/>
        <v>100</v>
      </c>
      <c r="BR15" s="114">
        <f t="shared" si="14"/>
        <v>65</v>
      </c>
      <c r="BS15" s="114">
        <f t="shared" si="14"/>
        <v>100</v>
      </c>
      <c r="BT15" s="113">
        <f>SUM(B15:BS15)</f>
        <v>9072</v>
      </c>
    </row>
    <row r="16" spans="1:72" ht="15.75" thickBot="1" x14ac:dyDescent="0.3">
      <c r="A16" s="115" t="s">
        <v>59</v>
      </c>
      <c r="B16" s="116">
        <f>B15</f>
        <v>318</v>
      </c>
      <c r="C16" s="116">
        <f t="shared" ref="C16:AH16" si="15">C15/(1+$B$29)^(C10-1)</f>
        <v>63.106796116504853</v>
      </c>
      <c r="D16" s="116">
        <f t="shared" si="15"/>
        <v>94.259590913375433</v>
      </c>
      <c r="E16" s="116">
        <f t="shared" si="15"/>
        <v>59.484207857955369</v>
      </c>
      <c r="F16" s="116">
        <f t="shared" si="15"/>
        <v>88.848704791568892</v>
      </c>
      <c r="G16" s="116">
        <f t="shared" si="15"/>
        <v>274.30959343416419</v>
      </c>
      <c r="H16" s="116">
        <f t="shared" si="15"/>
        <v>54.436476684437537</v>
      </c>
      <c r="I16" s="116">
        <f t="shared" si="15"/>
        <v>81.30915113433538</v>
      </c>
      <c r="J16" s="116">
        <f t="shared" si="15"/>
        <v>51.311600230405823</v>
      </c>
      <c r="K16" s="116">
        <f t="shared" si="15"/>
        <v>76.641673234362699</v>
      </c>
      <c r="L16" s="116">
        <f t="shared" si="15"/>
        <v>236.62186493715862</v>
      </c>
      <c r="M16" s="116">
        <f t="shared" si="15"/>
        <v>46.957382978919547</v>
      </c>
      <c r="N16" s="116">
        <f t="shared" si="15"/>
        <v>70.137988019297325</v>
      </c>
      <c r="O16" s="116">
        <f t="shared" si="15"/>
        <v>44.261837099556566</v>
      </c>
      <c r="P16" s="116">
        <f t="shared" si="15"/>
        <v>66.111780581861922</v>
      </c>
      <c r="Q16" s="116">
        <f t="shared" si="15"/>
        <v>204.11209927215623</v>
      </c>
      <c r="R16" s="116">
        <f t="shared" si="15"/>
        <v>40.505851049307431</v>
      </c>
      <c r="S16" s="116">
        <f t="shared" si="15"/>
        <v>60.50164458447712</v>
      </c>
      <c r="T16" s="116">
        <f t="shared" si="15"/>
        <v>38.180649495058375</v>
      </c>
      <c r="U16" s="116">
        <f t="shared" si="15"/>
        <v>57.028602681192503</v>
      </c>
      <c r="V16" s="116">
        <f t="shared" si="15"/>
        <v>176.06888983125452</v>
      </c>
      <c r="W16" s="116">
        <f t="shared" si="15"/>
        <v>34.940702934089103</v>
      </c>
      <c r="X16" s="116">
        <f t="shared" si="15"/>
        <v>52.189250088258554</v>
      </c>
      <c r="Y16" s="116">
        <f t="shared" si="15"/>
        <v>32.934963647930154</v>
      </c>
      <c r="Z16" s="116">
        <f t="shared" si="15"/>
        <v>49.193373633950948</v>
      </c>
      <c r="AA16" s="116">
        <f t="shared" si="15"/>
        <v>151.87857102520778</v>
      </c>
      <c r="AB16" s="116">
        <f t="shared" si="15"/>
        <v>30.140157283502791</v>
      </c>
      <c r="AC16" s="116">
        <f t="shared" si="15"/>
        <v>45.018905576553834</v>
      </c>
      <c r="AD16" s="116">
        <f t="shared" si="15"/>
        <v>28.409988956077665</v>
      </c>
      <c r="AE16" s="116">
        <f t="shared" si="15"/>
        <v>42.434636230138409</v>
      </c>
      <c r="AF16" s="116">
        <f t="shared" si="15"/>
        <v>131.01178952605841</v>
      </c>
      <c r="AG16" s="116">
        <f t="shared" si="15"/>
        <v>25.999164435469851</v>
      </c>
      <c r="AH16" s="116">
        <f t="shared" si="15"/>
        <v>38.833703413696568</v>
      </c>
      <c r="AI16" s="116">
        <f t="shared" ref="AI16:BN16" si="16">AI15/(1+$B$29)^(AI10-1)</f>
        <v>24.506706037769678</v>
      </c>
      <c r="AJ16" s="116">
        <f t="shared" si="16"/>
        <v>36.604489974263906</v>
      </c>
      <c r="AK16" s="116">
        <f t="shared" si="16"/>
        <v>113.01192050306717</v>
      </c>
      <c r="AL16" s="116">
        <f t="shared" si="16"/>
        <v>22.427107628684642</v>
      </c>
      <c r="AM16" s="116">
        <f t="shared" si="16"/>
        <v>33.498293694823964</v>
      </c>
      <c r="AN16" s="116">
        <f t="shared" si="16"/>
        <v>21.13969990450056</v>
      </c>
      <c r="AO16" s="116">
        <f t="shared" si="16"/>
        <v>31.575354599702099</v>
      </c>
      <c r="AP16" s="116">
        <f t="shared" si="16"/>
        <v>97.485075366070575</v>
      </c>
      <c r="AQ16" s="116">
        <f t="shared" si="16"/>
        <v>19.345820048832469</v>
      </c>
      <c r="AR16" s="116">
        <f t="shared" si="16"/>
        <v>28.895922403035801</v>
      </c>
      <c r="AS16" s="116">
        <f t="shared" si="16"/>
        <v>18.235290836867254</v>
      </c>
      <c r="AT16" s="116">
        <f t="shared" si="16"/>
        <v>27.237178247747956</v>
      </c>
      <c r="AU16" s="116">
        <f t="shared" si="16"/>
        <v>84.091482357124761</v>
      </c>
      <c r="AV16" s="116">
        <f t="shared" si="16"/>
        <v>16.687874315238165</v>
      </c>
      <c r="AW16" s="116">
        <f t="shared" si="16"/>
        <v>24.925876497741843</v>
      </c>
      <c r="AX16" s="116">
        <f t="shared" si="16"/>
        <v>15.729922061681748</v>
      </c>
      <c r="AY16" s="116">
        <f t="shared" si="16"/>
        <v>23.495029218344659</v>
      </c>
      <c r="AZ16" s="116">
        <f t="shared" si="16"/>
        <v>72.538051373141769</v>
      </c>
      <c r="BA16" s="116">
        <f t="shared" si="16"/>
        <v>14.395106977023309</v>
      </c>
      <c r="BB16" s="116">
        <f t="shared" si="16"/>
        <v>21.501280025426897</v>
      </c>
      <c r="BC16" s="116">
        <f t="shared" si="16"/>
        <v>13.568768948084939</v>
      </c>
      <c r="BD16" s="116">
        <f t="shared" si="16"/>
        <v>20.267018593106702</v>
      </c>
      <c r="BE16" s="116">
        <f t="shared" si="16"/>
        <v>62.571960316581851</v>
      </c>
      <c r="BF16" s="116">
        <f t="shared" si="16"/>
        <v>12.417345730530077</v>
      </c>
      <c r="BG16" s="116">
        <f t="shared" si="16"/>
        <v>18.547193025437007</v>
      </c>
      <c r="BH16" s="116">
        <f t="shared" si="16"/>
        <v>11.704539287897139</v>
      </c>
      <c r="BI16" s="116">
        <f t="shared" si="16"/>
        <v>17.482508271691021</v>
      </c>
      <c r="BJ16" s="116">
        <f t="shared" si="16"/>
        <v>53.975122625220827</v>
      </c>
      <c r="BK16" s="116">
        <f t="shared" si="16"/>
        <v>10.711311505890439</v>
      </c>
      <c r="BL16" s="116">
        <f t="shared" si="16"/>
        <v>15.998971629410663</v>
      </c>
      <c r="BM16" s="116">
        <f t="shared" si="16"/>
        <v>10.096438406909639</v>
      </c>
      <c r="BN16" s="116">
        <f t="shared" si="16"/>
        <v>15.080565208229489</v>
      </c>
      <c r="BO16" s="116">
        <f t="shared" ref="BO16:BS16" si="17">BO15/(1+$B$29)^(BO10-1)</f>
        <v>46.559414914727931</v>
      </c>
      <c r="BP16" s="116">
        <f t="shared" si="17"/>
        <v>9.2396713972562612</v>
      </c>
      <c r="BQ16" s="116">
        <f t="shared" si="17"/>
        <v>13.800853468642659</v>
      </c>
      <c r="BR16" s="116">
        <f t="shared" si="17"/>
        <v>8.7092764607939124</v>
      </c>
      <c r="BS16" s="116">
        <f t="shared" si="17"/>
        <v>13.008628022096957</v>
      </c>
      <c r="BT16" s="117">
        <f>SUM(B16:BS16)</f>
        <v>3966.2486615618823</v>
      </c>
    </row>
    <row r="17" spans="1:72" ht="15.75" thickBot="1" x14ac:dyDescent="0.3"/>
    <row r="18" spans="1:72" x14ac:dyDescent="0.25">
      <c r="A18" s="103" t="s">
        <v>69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5"/>
    </row>
    <row r="19" spans="1:72" x14ac:dyDescent="0.25">
      <c r="A19" s="106"/>
      <c r="B19" s="107">
        <v>1</v>
      </c>
      <c r="C19" s="107">
        <v>2</v>
      </c>
      <c r="D19" s="107">
        <v>3</v>
      </c>
      <c r="E19" s="107">
        <v>4</v>
      </c>
      <c r="F19" s="107">
        <v>5</v>
      </c>
      <c r="G19" s="107">
        <v>6</v>
      </c>
      <c r="H19" s="107">
        <v>7</v>
      </c>
      <c r="I19" s="107">
        <v>8</v>
      </c>
      <c r="J19" s="107">
        <v>9</v>
      </c>
      <c r="K19" s="107">
        <v>10</v>
      </c>
      <c r="L19" s="107">
        <v>11</v>
      </c>
      <c r="M19" s="107">
        <v>12</v>
      </c>
      <c r="N19" s="107">
        <v>13</v>
      </c>
      <c r="O19" s="107">
        <v>14</v>
      </c>
      <c r="P19" s="107">
        <v>15</v>
      </c>
      <c r="Q19" s="107">
        <v>16</v>
      </c>
      <c r="R19" s="107">
        <v>17</v>
      </c>
      <c r="S19" s="107">
        <v>18</v>
      </c>
      <c r="T19" s="107">
        <v>19</v>
      </c>
      <c r="U19" s="107">
        <v>20</v>
      </c>
      <c r="V19" s="107">
        <v>21</v>
      </c>
      <c r="W19" s="107">
        <v>22</v>
      </c>
      <c r="X19" s="107">
        <v>23</v>
      </c>
      <c r="Y19" s="107">
        <v>24</v>
      </c>
      <c r="Z19" s="107">
        <v>25</v>
      </c>
      <c r="AA19" s="107">
        <v>26</v>
      </c>
      <c r="AB19" s="107">
        <v>27</v>
      </c>
      <c r="AC19" s="107">
        <v>28</v>
      </c>
      <c r="AD19" s="107">
        <v>29</v>
      </c>
      <c r="AE19" s="107">
        <v>30</v>
      </c>
      <c r="AF19" s="107">
        <v>31</v>
      </c>
      <c r="AG19" s="107">
        <v>32</v>
      </c>
      <c r="AH19" s="107">
        <v>33</v>
      </c>
      <c r="AI19" s="107">
        <v>34</v>
      </c>
      <c r="AJ19" s="107">
        <v>35</v>
      </c>
      <c r="AK19" s="107">
        <v>36</v>
      </c>
      <c r="AL19" s="107">
        <v>37</v>
      </c>
      <c r="AM19" s="107">
        <v>38</v>
      </c>
      <c r="AN19" s="107">
        <v>39</v>
      </c>
      <c r="AO19" s="107">
        <v>40</v>
      </c>
      <c r="AP19" s="107">
        <v>41</v>
      </c>
      <c r="AQ19" s="107">
        <v>42</v>
      </c>
      <c r="AR19" s="107">
        <v>43</v>
      </c>
      <c r="AS19" s="107">
        <v>44</v>
      </c>
      <c r="AT19" s="107">
        <v>45</v>
      </c>
      <c r="AU19" s="107">
        <v>46</v>
      </c>
      <c r="AV19" s="107">
        <v>47</v>
      </c>
      <c r="AW19" s="107">
        <v>48</v>
      </c>
      <c r="AX19" s="107">
        <v>49</v>
      </c>
      <c r="AY19" s="107">
        <v>50</v>
      </c>
      <c r="AZ19" s="107">
        <v>51</v>
      </c>
      <c r="BA19" s="107">
        <v>52</v>
      </c>
      <c r="BB19" s="107">
        <v>53</v>
      </c>
      <c r="BC19" s="107">
        <v>54</v>
      </c>
      <c r="BD19" s="107">
        <v>55</v>
      </c>
      <c r="BE19" s="107">
        <v>56</v>
      </c>
      <c r="BF19" s="107">
        <v>57</v>
      </c>
      <c r="BG19" s="107">
        <v>58</v>
      </c>
      <c r="BH19" s="107">
        <v>59</v>
      </c>
      <c r="BI19" s="107">
        <v>60</v>
      </c>
      <c r="BJ19" s="107">
        <v>61</v>
      </c>
      <c r="BK19" s="107">
        <v>62</v>
      </c>
      <c r="BL19" s="107">
        <v>63</v>
      </c>
      <c r="BM19" s="107">
        <v>64</v>
      </c>
      <c r="BN19" s="107">
        <v>65</v>
      </c>
      <c r="BO19" s="107">
        <v>66</v>
      </c>
      <c r="BP19" s="107">
        <v>67</v>
      </c>
      <c r="BQ19" s="107">
        <v>68</v>
      </c>
      <c r="BR19" s="107">
        <v>69</v>
      </c>
      <c r="BS19" s="107">
        <v>70</v>
      </c>
      <c r="BT19" s="108" t="s">
        <v>66</v>
      </c>
    </row>
    <row r="20" spans="1:72" x14ac:dyDescent="0.25">
      <c r="A20" s="109" t="s">
        <v>64</v>
      </c>
      <c r="B20" s="110">
        <v>360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>
        <v>360</v>
      </c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>
        <v>360</v>
      </c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>
        <v>360</v>
      </c>
      <c r="BK20" s="110"/>
      <c r="BL20" s="110"/>
      <c r="BM20" s="110"/>
      <c r="BN20" s="110"/>
      <c r="BO20" s="110"/>
      <c r="BP20" s="110"/>
      <c r="BQ20" s="110"/>
      <c r="BR20" s="110"/>
      <c r="BS20" s="110"/>
      <c r="BT20" s="111"/>
    </row>
    <row r="21" spans="1:72" x14ac:dyDescent="0.25">
      <c r="A21" s="109" t="s">
        <v>65</v>
      </c>
      <c r="B21" s="110">
        <v>193</v>
      </c>
      <c r="C21" s="110">
        <v>193</v>
      </c>
      <c r="D21" s="110">
        <v>193</v>
      </c>
      <c r="E21" s="110">
        <v>193</v>
      </c>
      <c r="F21" s="110">
        <v>193</v>
      </c>
      <c r="G21" s="110">
        <v>193</v>
      </c>
      <c r="H21" s="110">
        <v>193</v>
      </c>
      <c r="I21" s="110">
        <v>193</v>
      </c>
      <c r="J21" s="110">
        <v>193</v>
      </c>
      <c r="K21" s="110">
        <v>193</v>
      </c>
      <c r="L21" s="110">
        <v>193</v>
      </c>
      <c r="M21" s="110">
        <v>193</v>
      </c>
      <c r="N21" s="110">
        <v>193</v>
      </c>
      <c r="O21" s="110">
        <v>193</v>
      </c>
      <c r="P21" s="110">
        <v>193</v>
      </c>
      <c r="Q21" s="110">
        <v>193</v>
      </c>
      <c r="R21" s="110">
        <v>193</v>
      </c>
      <c r="S21" s="110">
        <v>193</v>
      </c>
      <c r="T21" s="110">
        <v>193</v>
      </c>
      <c r="U21" s="110">
        <v>193</v>
      </c>
      <c r="V21" s="110">
        <v>193</v>
      </c>
      <c r="W21" s="110">
        <v>193</v>
      </c>
      <c r="X21" s="110">
        <v>193</v>
      </c>
      <c r="Y21" s="110">
        <v>193</v>
      </c>
      <c r="Z21" s="110">
        <v>193</v>
      </c>
      <c r="AA21" s="110">
        <v>193</v>
      </c>
      <c r="AB21" s="110">
        <v>193</v>
      </c>
      <c r="AC21" s="110">
        <v>193</v>
      </c>
      <c r="AD21" s="110">
        <v>193</v>
      </c>
      <c r="AE21" s="110">
        <v>193</v>
      </c>
      <c r="AF21" s="110">
        <v>193</v>
      </c>
      <c r="AG21" s="110">
        <v>193</v>
      </c>
      <c r="AH21" s="110">
        <v>193</v>
      </c>
      <c r="AI21" s="110">
        <v>193</v>
      </c>
      <c r="AJ21" s="110">
        <v>193</v>
      </c>
      <c r="AK21" s="110">
        <v>193</v>
      </c>
      <c r="AL21" s="110">
        <v>193</v>
      </c>
      <c r="AM21" s="110">
        <v>193</v>
      </c>
      <c r="AN21" s="110">
        <v>193</v>
      </c>
      <c r="AO21" s="110">
        <v>193</v>
      </c>
      <c r="AP21" s="110">
        <v>193</v>
      </c>
      <c r="AQ21" s="110">
        <v>193</v>
      </c>
      <c r="AR21" s="110">
        <v>193</v>
      </c>
      <c r="AS21" s="110">
        <v>193</v>
      </c>
      <c r="AT21" s="110">
        <v>193</v>
      </c>
      <c r="AU21" s="110">
        <v>193</v>
      </c>
      <c r="AV21" s="110">
        <v>193</v>
      </c>
      <c r="AW21" s="110">
        <v>193</v>
      </c>
      <c r="AX21" s="110">
        <v>193</v>
      </c>
      <c r="AY21" s="110">
        <v>193</v>
      </c>
      <c r="AZ21" s="110">
        <v>193</v>
      </c>
      <c r="BA21" s="110">
        <v>193</v>
      </c>
      <c r="BB21" s="110">
        <v>193</v>
      </c>
      <c r="BC21" s="110">
        <v>193</v>
      </c>
      <c r="BD21" s="110">
        <v>193</v>
      </c>
      <c r="BE21" s="110">
        <v>193</v>
      </c>
      <c r="BF21" s="110">
        <v>193</v>
      </c>
      <c r="BG21" s="110">
        <v>193</v>
      </c>
      <c r="BH21" s="110">
        <v>193</v>
      </c>
      <c r="BI21" s="110">
        <v>193</v>
      </c>
      <c r="BJ21" s="110">
        <v>193</v>
      </c>
      <c r="BK21" s="110">
        <v>193</v>
      </c>
      <c r="BL21" s="110">
        <v>193</v>
      </c>
      <c r="BM21" s="110">
        <v>193</v>
      </c>
      <c r="BN21" s="110">
        <v>193</v>
      </c>
      <c r="BO21" s="110">
        <v>193</v>
      </c>
      <c r="BP21" s="110">
        <v>193</v>
      </c>
      <c r="BQ21" s="110">
        <v>193</v>
      </c>
      <c r="BR21" s="110">
        <v>193</v>
      </c>
      <c r="BS21" s="110">
        <v>193</v>
      </c>
      <c r="BT21" s="111"/>
    </row>
    <row r="22" spans="1:72" x14ac:dyDescent="0.25">
      <c r="A22" s="112" t="s">
        <v>61</v>
      </c>
      <c r="B22" s="110">
        <f t="shared" ref="B22:AG22" si="18">SUM(B20:B21)</f>
        <v>553</v>
      </c>
      <c r="C22" s="110">
        <f t="shared" si="18"/>
        <v>193</v>
      </c>
      <c r="D22" s="110">
        <f t="shared" si="18"/>
        <v>193</v>
      </c>
      <c r="E22" s="110">
        <f t="shared" si="18"/>
        <v>193</v>
      </c>
      <c r="F22" s="110">
        <f t="shared" si="18"/>
        <v>193</v>
      </c>
      <c r="G22" s="110">
        <f t="shared" si="18"/>
        <v>193</v>
      </c>
      <c r="H22" s="110">
        <f t="shared" si="18"/>
        <v>193</v>
      </c>
      <c r="I22" s="110">
        <f t="shared" si="18"/>
        <v>193</v>
      </c>
      <c r="J22" s="110">
        <f t="shared" si="18"/>
        <v>193</v>
      </c>
      <c r="K22" s="110">
        <f t="shared" si="18"/>
        <v>193</v>
      </c>
      <c r="L22" s="110">
        <f t="shared" si="18"/>
        <v>193</v>
      </c>
      <c r="M22" s="110">
        <f t="shared" si="18"/>
        <v>193</v>
      </c>
      <c r="N22" s="110">
        <f t="shared" si="18"/>
        <v>193</v>
      </c>
      <c r="O22" s="110">
        <f t="shared" si="18"/>
        <v>193</v>
      </c>
      <c r="P22" s="110">
        <f t="shared" si="18"/>
        <v>193</v>
      </c>
      <c r="Q22" s="110">
        <f t="shared" si="18"/>
        <v>193</v>
      </c>
      <c r="R22" s="110">
        <f t="shared" si="18"/>
        <v>193</v>
      </c>
      <c r="S22" s="110">
        <f t="shared" si="18"/>
        <v>193</v>
      </c>
      <c r="T22" s="110">
        <f t="shared" si="18"/>
        <v>193</v>
      </c>
      <c r="U22" s="110">
        <f t="shared" si="18"/>
        <v>193</v>
      </c>
      <c r="V22" s="110">
        <f t="shared" si="18"/>
        <v>553</v>
      </c>
      <c r="W22" s="110">
        <f t="shared" si="18"/>
        <v>193</v>
      </c>
      <c r="X22" s="110">
        <f t="shared" si="18"/>
        <v>193</v>
      </c>
      <c r="Y22" s="110">
        <f t="shared" si="18"/>
        <v>193</v>
      </c>
      <c r="Z22" s="110">
        <f t="shared" si="18"/>
        <v>193</v>
      </c>
      <c r="AA22" s="110">
        <f t="shared" si="18"/>
        <v>193</v>
      </c>
      <c r="AB22" s="110">
        <f t="shared" si="18"/>
        <v>193</v>
      </c>
      <c r="AC22" s="110">
        <f t="shared" si="18"/>
        <v>193</v>
      </c>
      <c r="AD22" s="110">
        <f t="shared" si="18"/>
        <v>193</v>
      </c>
      <c r="AE22" s="110">
        <f t="shared" si="18"/>
        <v>193</v>
      </c>
      <c r="AF22" s="110">
        <f t="shared" si="18"/>
        <v>193</v>
      </c>
      <c r="AG22" s="110">
        <f t="shared" si="18"/>
        <v>193</v>
      </c>
      <c r="AH22" s="110">
        <f t="shared" ref="AH22:BM22" si="19">SUM(AH20:AH21)</f>
        <v>193</v>
      </c>
      <c r="AI22" s="110">
        <f t="shared" si="19"/>
        <v>193</v>
      </c>
      <c r="AJ22" s="110">
        <f t="shared" si="19"/>
        <v>193</v>
      </c>
      <c r="AK22" s="110">
        <f t="shared" si="19"/>
        <v>193</v>
      </c>
      <c r="AL22" s="110">
        <f t="shared" si="19"/>
        <v>193</v>
      </c>
      <c r="AM22" s="110">
        <f t="shared" si="19"/>
        <v>193</v>
      </c>
      <c r="AN22" s="110">
        <f t="shared" si="19"/>
        <v>193</v>
      </c>
      <c r="AO22" s="110">
        <f t="shared" si="19"/>
        <v>193</v>
      </c>
      <c r="AP22" s="110">
        <f t="shared" si="19"/>
        <v>553</v>
      </c>
      <c r="AQ22" s="110">
        <f t="shared" si="19"/>
        <v>193</v>
      </c>
      <c r="AR22" s="110">
        <f t="shared" si="19"/>
        <v>193</v>
      </c>
      <c r="AS22" s="110">
        <f t="shared" si="19"/>
        <v>193</v>
      </c>
      <c r="AT22" s="110">
        <f t="shared" si="19"/>
        <v>193</v>
      </c>
      <c r="AU22" s="110">
        <f t="shared" si="19"/>
        <v>193</v>
      </c>
      <c r="AV22" s="110">
        <f t="shared" si="19"/>
        <v>193</v>
      </c>
      <c r="AW22" s="110">
        <f t="shared" si="19"/>
        <v>193</v>
      </c>
      <c r="AX22" s="110">
        <f t="shared" si="19"/>
        <v>193</v>
      </c>
      <c r="AY22" s="110">
        <f t="shared" si="19"/>
        <v>193</v>
      </c>
      <c r="AZ22" s="110">
        <f t="shared" si="19"/>
        <v>193</v>
      </c>
      <c r="BA22" s="110">
        <f t="shared" si="19"/>
        <v>193</v>
      </c>
      <c r="BB22" s="110">
        <f t="shared" si="19"/>
        <v>193</v>
      </c>
      <c r="BC22" s="110">
        <f t="shared" si="19"/>
        <v>193</v>
      </c>
      <c r="BD22" s="110">
        <f t="shared" si="19"/>
        <v>193</v>
      </c>
      <c r="BE22" s="110">
        <f t="shared" si="19"/>
        <v>193</v>
      </c>
      <c r="BF22" s="110">
        <f t="shared" si="19"/>
        <v>193</v>
      </c>
      <c r="BG22" s="110">
        <f t="shared" si="19"/>
        <v>193</v>
      </c>
      <c r="BH22" s="110">
        <f t="shared" si="19"/>
        <v>193</v>
      </c>
      <c r="BI22" s="110">
        <f t="shared" si="19"/>
        <v>193</v>
      </c>
      <c r="BJ22" s="110">
        <f t="shared" si="19"/>
        <v>553</v>
      </c>
      <c r="BK22" s="110">
        <f t="shared" si="19"/>
        <v>193</v>
      </c>
      <c r="BL22" s="110">
        <f t="shared" si="19"/>
        <v>193</v>
      </c>
      <c r="BM22" s="110">
        <f t="shared" si="19"/>
        <v>193</v>
      </c>
      <c r="BN22" s="110">
        <f t="shared" ref="BN22:BS22" si="20">SUM(BN20:BN21)</f>
        <v>193</v>
      </c>
      <c r="BO22" s="110">
        <f t="shared" si="20"/>
        <v>193</v>
      </c>
      <c r="BP22" s="110">
        <f t="shared" si="20"/>
        <v>193</v>
      </c>
      <c r="BQ22" s="110">
        <f t="shared" si="20"/>
        <v>193</v>
      </c>
      <c r="BR22" s="110">
        <f t="shared" si="20"/>
        <v>193</v>
      </c>
      <c r="BS22" s="110">
        <f t="shared" si="20"/>
        <v>193</v>
      </c>
      <c r="BT22" s="113">
        <f>SUM(B22:BS22)</f>
        <v>14950</v>
      </c>
    </row>
    <row r="23" spans="1:72" x14ac:dyDescent="0.25">
      <c r="A23" s="109" t="s">
        <v>60</v>
      </c>
      <c r="B23" s="114">
        <f>B22</f>
        <v>553</v>
      </c>
      <c r="C23" s="114">
        <f t="shared" ref="C23:AH23" si="21">C22*(1+$B$28)^(C19-1)</f>
        <v>193</v>
      </c>
      <c r="D23" s="114">
        <f t="shared" si="21"/>
        <v>193</v>
      </c>
      <c r="E23" s="114">
        <f t="shared" si="21"/>
        <v>193</v>
      </c>
      <c r="F23" s="114">
        <f t="shared" si="21"/>
        <v>193</v>
      </c>
      <c r="G23" s="114">
        <f t="shared" si="21"/>
        <v>193</v>
      </c>
      <c r="H23" s="114">
        <f t="shared" si="21"/>
        <v>193</v>
      </c>
      <c r="I23" s="114">
        <f t="shared" si="21"/>
        <v>193</v>
      </c>
      <c r="J23" s="114">
        <f t="shared" si="21"/>
        <v>193</v>
      </c>
      <c r="K23" s="114">
        <f t="shared" si="21"/>
        <v>193</v>
      </c>
      <c r="L23" s="114">
        <f t="shared" si="21"/>
        <v>193</v>
      </c>
      <c r="M23" s="114">
        <f t="shared" si="21"/>
        <v>193</v>
      </c>
      <c r="N23" s="114">
        <f t="shared" si="21"/>
        <v>193</v>
      </c>
      <c r="O23" s="114">
        <f t="shared" si="21"/>
        <v>193</v>
      </c>
      <c r="P23" s="114">
        <f t="shared" si="21"/>
        <v>193</v>
      </c>
      <c r="Q23" s="114">
        <f t="shared" si="21"/>
        <v>193</v>
      </c>
      <c r="R23" s="114">
        <f t="shared" si="21"/>
        <v>193</v>
      </c>
      <c r="S23" s="114">
        <f t="shared" si="21"/>
        <v>193</v>
      </c>
      <c r="T23" s="114">
        <f t="shared" si="21"/>
        <v>193</v>
      </c>
      <c r="U23" s="114">
        <f t="shared" si="21"/>
        <v>193</v>
      </c>
      <c r="V23" s="114">
        <f t="shared" si="21"/>
        <v>553</v>
      </c>
      <c r="W23" s="114">
        <f t="shared" si="21"/>
        <v>193</v>
      </c>
      <c r="X23" s="114">
        <f t="shared" si="21"/>
        <v>193</v>
      </c>
      <c r="Y23" s="114">
        <f t="shared" si="21"/>
        <v>193</v>
      </c>
      <c r="Z23" s="114">
        <f t="shared" si="21"/>
        <v>193</v>
      </c>
      <c r="AA23" s="114">
        <f t="shared" si="21"/>
        <v>193</v>
      </c>
      <c r="AB23" s="114">
        <f t="shared" si="21"/>
        <v>193</v>
      </c>
      <c r="AC23" s="114">
        <f t="shared" si="21"/>
        <v>193</v>
      </c>
      <c r="AD23" s="114">
        <f t="shared" si="21"/>
        <v>193</v>
      </c>
      <c r="AE23" s="114">
        <f t="shared" si="21"/>
        <v>193</v>
      </c>
      <c r="AF23" s="114">
        <f t="shared" si="21"/>
        <v>193</v>
      </c>
      <c r="AG23" s="114">
        <f t="shared" si="21"/>
        <v>193</v>
      </c>
      <c r="AH23" s="114">
        <f t="shared" si="21"/>
        <v>193</v>
      </c>
      <c r="AI23" s="114">
        <f t="shared" ref="AI23:BN23" si="22">AI22*(1+$B$28)^(AI19-1)</f>
        <v>193</v>
      </c>
      <c r="AJ23" s="114">
        <f t="shared" si="22"/>
        <v>193</v>
      </c>
      <c r="AK23" s="114">
        <f t="shared" si="22"/>
        <v>193</v>
      </c>
      <c r="AL23" s="114">
        <f t="shared" si="22"/>
        <v>193</v>
      </c>
      <c r="AM23" s="114">
        <f t="shared" si="22"/>
        <v>193</v>
      </c>
      <c r="AN23" s="114">
        <f t="shared" si="22"/>
        <v>193</v>
      </c>
      <c r="AO23" s="114">
        <f t="shared" si="22"/>
        <v>193</v>
      </c>
      <c r="AP23" s="114">
        <f t="shared" si="22"/>
        <v>553</v>
      </c>
      <c r="AQ23" s="114">
        <f t="shared" si="22"/>
        <v>193</v>
      </c>
      <c r="AR23" s="114">
        <f t="shared" si="22"/>
        <v>193</v>
      </c>
      <c r="AS23" s="114">
        <f t="shared" si="22"/>
        <v>193</v>
      </c>
      <c r="AT23" s="114">
        <f t="shared" si="22"/>
        <v>193</v>
      </c>
      <c r="AU23" s="114">
        <f t="shared" si="22"/>
        <v>193</v>
      </c>
      <c r="AV23" s="114">
        <f t="shared" si="22"/>
        <v>193</v>
      </c>
      <c r="AW23" s="114">
        <f t="shared" si="22"/>
        <v>193</v>
      </c>
      <c r="AX23" s="114">
        <f t="shared" si="22"/>
        <v>193</v>
      </c>
      <c r="AY23" s="114">
        <f t="shared" si="22"/>
        <v>193</v>
      </c>
      <c r="AZ23" s="114">
        <f t="shared" si="22"/>
        <v>193</v>
      </c>
      <c r="BA23" s="114">
        <f t="shared" si="22"/>
        <v>193</v>
      </c>
      <c r="BB23" s="114">
        <f t="shared" si="22"/>
        <v>193</v>
      </c>
      <c r="BC23" s="114">
        <f t="shared" si="22"/>
        <v>193</v>
      </c>
      <c r="BD23" s="114">
        <f t="shared" si="22"/>
        <v>193</v>
      </c>
      <c r="BE23" s="114">
        <f t="shared" si="22"/>
        <v>193</v>
      </c>
      <c r="BF23" s="114">
        <f t="shared" si="22"/>
        <v>193</v>
      </c>
      <c r="BG23" s="114">
        <f t="shared" si="22"/>
        <v>193</v>
      </c>
      <c r="BH23" s="114">
        <f t="shared" si="22"/>
        <v>193</v>
      </c>
      <c r="BI23" s="114">
        <f t="shared" si="22"/>
        <v>193</v>
      </c>
      <c r="BJ23" s="114">
        <f t="shared" si="22"/>
        <v>553</v>
      </c>
      <c r="BK23" s="114">
        <f t="shared" si="22"/>
        <v>193</v>
      </c>
      <c r="BL23" s="114">
        <f t="shared" si="22"/>
        <v>193</v>
      </c>
      <c r="BM23" s="114">
        <f t="shared" si="22"/>
        <v>193</v>
      </c>
      <c r="BN23" s="114">
        <f t="shared" si="22"/>
        <v>193</v>
      </c>
      <c r="BO23" s="114">
        <f t="shared" ref="BO23:BS23" si="23">BO22*(1+$B$28)^(BO19-1)</f>
        <v>193</v>
      </c>
      <c r="BP23" s="114">
        <f t="shared" si="23"/>
        <v>193</v>
      </c>
      <c r="BQ23" s="114">
        <f t="shared" si="23"/>
        <v>193</v>
      </c>
      <c r="BR23" s="114">
        <f t="shared" si="23"/>
        <v>193</v>
      </c>
      <c r="BS23" s="114">
        <f t="shared" si="23"/>
        <v>193</v>
      </c>
      <c r="BT23" s="113">
        <f>SUM(B23:BS23)</f>
        <v>14950</v>
      </c>
    </row>
    <row r="24" spans="1:72" ht="15.75" thickBot="1" x14ac:dyDescent="0.3">
      <c r="A24" s="115" t="s">
        <v>59</v>
      </c>
      <c r="B24" s="116">
        <f>B23</f>
        <v>553</v>
      </c>
      <c r="C24" s="116">
        <f t="shared" ref="C24:AH24" si="24">C23/(1+$B$29)^(C19-1)</f>
        <v>187.37864077669903</v>
      </c>
      <c r="D24" s="116">
        <f t="shared" si="24"/>
        <v>181.92101046281459</v>
      </c>
      <c r="E24" s="116">
        <f t="shared" si="24"/>
        <v>176.6223402551598</v>
      </c>
      <c r="F24" s="116">
        <f t="shared" si="24"/>
        <v>171.47800024772798</v>
      </c>
      <c r="G24" s="116">
        <f t="shared" si="24"/>
        <v>166.48349538614366</v>
      </c>
      <c r="H24" s="116">
        <f t="shared" si="24"/>
        <v>161.63446153994531</v>
      </c>
      <c r="I24" s="116">
        <f t="shared" si="24"/>
        <v>156.92666168926726</v>
      </c>
      <c r="J24" s="116">
        <f t="shared" si="24"/>
        <v>152.3559822225896</v>
      </c>
      <c r="K24" s="116">
        <f t="shared" si="24"/>
        <v>147.91842934232</v>
      </c>
      <c r="L24" s="116">
        <f t="shared" si="24"/>
        <v>143.61012557506797</v>
      </c>
      <c r="M24" s="116">
        <f t="shared" si="24"/>
        <v>139.42730638356113</v>
      </c>
      <c r="N24" s="116">
        <f t="shared" si="24"/>
        <v>135.36631687724383</v>
      </c>
      <c r="O24" s="116">
        <f t="shared" si="24"/>
        <v>131.42360861868335</v>
      </c>
      <c r="P24" s="116">
        <f t="shared" si="24"/>
        <v>127.59573652299352</v>
      </c>
      <c r="Q24" s="116">
        <f t="shared" si="24"/>
        <v>123.87935584756652</v>
      </c>
      <c r="R24" s="116">
        <f t="shared" si="24"/>
        <v>120.27121926948207</v>
      </c>
      <c r="S24" s="116">
        <f t="shared" si="24"/>
        <v>116.76817404804085</v>
      </c>
      <c r="T24" s="116">
        <f t="shared" si="24"/>
        <v>113.36715926994256</v>
      </c>
      <c r="U24" s="116">
        <f t="shared" si="24"/>
        <v>110.06520317470152</v>
      </c>
      <c r="V24" s="116">
        <f t="shared" si="24"/>
        <v>306.18269206504323</v>
      </c>
      <c r="W24" s="116">
        <f t="shared" si="24"/>
        <v>103.74701025044919</v>
      </c>
      <c r="X24" s="116">
        <f t="shared" si="24"/>
        <v>100.725252670339</v>
      </c>
      <c r="Y24" s="116">
        <f t="shared" si="24"/>
        <v>97.791507446931064</v>
      </c>
      <c r="Z24" s="116">
        <f t="shared" si="24"/>
        <v>94.943211113525322</v>
      </c>
      <c r="AA24" s="116">
        <f t="shared" si="24"/>
        <v>92.177874867500321</v>
      </c>
      <c r="AB24" s="116">
        <f t="shared" si="24"/>
        <v>89.493082395631362</v>
      </c>
      <c r="AC24" s="116">
        <f t="shared" si="24"/>
        <v>86.886487762748899</v>
      </c>
      <c r="AD24" s="116">
        <f t="shared" si="24"/>
        <v>84.355813361892146</v>
      </c>
      <c r="AE24" s="116">
        <f t="shared" si="24"/>
        <v>81.898847924167129</v>
      </c>
      <c r="AF24" s="116">
        <f t="shared" si="24"/>
        <v>79.513444586570031</v>
      </c>
      <c r="AG24" s="116">
        <f t="shared" si="24"/>
        <v>77.197519016087398</v>
      </c>
      <c r="AH24" s="116">
        <f t="shared" si="24"/>
        <v>74.949047588434382</v>
      </c>
      <c r="AI24" s="116">
        <f t="shared" ref="AI24:BN24" si="25">AI23/(1+$B$29)^(AI19-1)</f>
        <v>72.766065619839196</v>
      </c>
      <c r="AJ24" s="116">
        <f t="shared" si="25"/>
        <v>70.646665650329339</v>
      </c>
      <c r="AK24" s="116">
        <f t="shared" si="25"/>
        <v>68.588995777018766</v>
      </c>
      <c r="AL24" s="116">
        <f t="shared" si="25"/>
        <v>66.591258035940541</v>
      </c>
      <c r="AM24" s="116">
        <f t="shared" si="25"/>
        <v>64.651706831010245</v>
      </c>
      <c r="AN24" s="116">
        <f t="shared" si="25"/>
        <v>62.768647408747817</v>
      </c>
      <c r="AO24" s="116">
        <f t="shared" si="25"/>
        <v>60.940434377425056</v>
      </c>
      <c r="AP24" s="116">
        <f t="shared" si="25"/>
        <v>169.52593294791518</v>
      </c>
      <c r="AQ24" s="116">
        <f t="shared" si="25"/>
        <v>57.442204144994875</v>
      </c>
      <c r="AR24" s="116">
        <f t="shared" si="25"/>
        <v>55.769130237859095</v>
      </c>
      <c r="AS24" s="116">
        <f t="shared" si="25"/>
        <v>54.144786638698157</v>
      </c>
      <c r="AT24" s="116">
        <f t="shared" si="25"/>
        <v>52.567754018153551</v>
      </c>
      <c r="AU24" s="116">
        <f t="shared" si="25"/>
        <v>51.036654386556847</v>
      </c>
      <c r="AV24" s="116">
        <f t="shared" si="25"/>
        <v>49.550149889861018</v>
      </c>
      <c r="AW24" s="116">
        <f t="shared" si="25"/>
        <v>48.106941640641757</v>
      </c>
      <c r="AX24" s="116">
        <f t="shared" si="25"/>
        <v>46.705768583147346</v>
      </c>
      <c r="AY24" s="116">
        <f t="shared" si="25"/>
        <v>45.345406391405191</v>
      </c>
      <c r="AZ24" s="116">
        <f t="shared" si="25"/>
        <v>44.024666399422514</v>
      </c>
      <c r="BA24" s="116">
        <f t="shared" si="25"/>
        <v>42.742394562546131</v>
      </c>
      <c r="BB24" s="116">
        <f t="shared" si="25"/>
        <v>41.497470449073916</v>
      </c>
      <c r="BC24" s="116">
        <f t="shared" si="25"/>
        <v>40.288806261236822</v>
      </c>
      <c r="BD24" s="116">
        <f t="shared" si="25"/>
        <v>39.115345884695934</v>
      </c>
      <c r="BE24" s="116">
        <f t="shared" si="25"/>
        <v>37.976063965724208</v>
      </c>
      <c r="BF24" s="116">
        <f t="shared" si="25"/>
        <v>36.869965015266231</v>
      </c>
      <c r="BG24" s="116">
        <f t="shared" si="25"/>
        <v>35.796082539093419</v>
      </c>
      <c r="BH24" s="116">
        <f t="shared" si="25"/>
        <v>34.753478193294583</v>
      </c>
      <c r="BI24" s="116">
        <f t="shared" si="25"/>
        <v>33.741240964363669</v>
      </c>
      <c r="BJ24" s="116">
        <f t="shared" si="25"/>
        <v>93.862398779078987</v>
      </c>
      <c r="BK24" s="116">
        <f t="shared" si="25"/>
        <v>31.804355702105457</v>
      </c>
      <c r="BL24" s="116">
        <f t="shared" si="25"/>
        <v>30.87801524476258</v>
      </c>
      <c r="BM24" s="116">
        <f t="shared" si="25"/>
        <v>29.978655577439394</v>
      </c>
      <c r="BN24" s="116">
        <f t="shared" si="25"/>
        <v>29.105490851882912</v>
      </c>
      <c r="BO24" s="116">
        <f t="shared" ref="BO24:BS24" si="26">BO23/(1+$B$29)^(BO19-1)</f>
        <v>28.257758108624188</v>
      </c>
      <c r="BP24" s="116">
        <f t="shared" si="26"/>
        <v>27.434716610314744</v>
      </c>
      <c r="BQ24" s="116">
        <f t="shared" si="26"/>
        <v>26.635647194480335</v>
      </c>
      <c r="BR24" s="116">
        <f t="shared" si="26"/>
        <v>25.85985164512654</v>
      </c>
      <c r="BS24" s="116">
        <f t="shared" si="26"/>
        <v>25.106652082647127</v>
      </c>
      <c r="BT24" s="117">
        <f>SUM(B24:BS24)</f>
        <v>6520.2325771699898</v>
      </c>
    </row>
    <row r="28" spans="1:72" x14ac:dyDescent="0.25">
      <c r="A28" s="45" t="s">
        <v>58</v>
      </c>
      <c r="B28" s="50">
        <v>0</v>
      </c>
    </row>
    <row r="29" spans="1:72" x14ac:dyDescent="0.25">
      <c r="A29" s="45" t="s">
        <v>57</v>
      </c>
      <c r="B29" s="50">
        <v>0.03</v>
      </c>
    </row>
    <row r="30" spans="1:72" x14ac:dyDescent="0.25">
      <c r="K30" s="46"/>
      <c r="M30" s="46"/>
      <c r="N30" s="46"/>
    </row>
    <row r="31" spans="1:72" x14ac:dyDescent="0.25">
      <c r="A31" s="45" t="s">
        <v>56</v>
      </c>
      <c r="K31" s="46"/>
      <c r="L31" s="46"/>
      <c r="M31" s="46"/>
      <c r="N31" s="46"/>
    </row>
    <row r="32" spans="1:72" x14ac:dyDescent="0.25">
      <c r="A32" s="45" t="s">
        <v>55</v>
      </c>
      <c r="B32" s="51">
        <f>BT7</f>
        <v>2025.711265031541</v>
      </c>
      <c r="J32" s="45"/>
      <c r="K32" s="47"/>
      <c r="L32" s="47"/>
      <c r="M32" s="47"/>
      <c r="N32" s="47"/>
    </row>
    <row r="33" spans="1:14" x14ac:dyDescent="0.25">
      <c r="A33" s="45" t="s">
        <v>54</v>
      </c>
      <c r="B33" s="51">
        <f>BT16</f>
        <v>3966.2486615618823</v>
      </c>
      <c r="J33" s="45"/>
      <c r="K33" s="47"/>
      <c r="L33" s="47"/>
      <c r="M33" s="47"/>
      <c r="N33" s="47"/>
    </row>
    <row r="34" spans="1:14" x14ac:dyDescent="0.25">
      <c r="A34" s="45" t="s">
        <v>69</v>
      </c>
      <c r="B34" s="51">
        <f>BT24</f>
        <v>6520.2325771699898</v>
      </c>
      <c r="J34" s="45"/>
      <c r="K34" s="47"/>
      <c r="L34" s="47"/>
      <c r="M34" s="47"/>
      <c r="N34" s="47"/>
    </row>
    <row r="35" spans="1:14" x14ac:dyDescent="0.25">
      <c r="L35" s="47"/>
      <c r="M35" s="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9" sqref="C19"/>
    </sheetView>
  </sheetViews>
  <sheetFormatPr defaultColWidth="3.42578125" defaultRowHeight="15" x14ac:dyDescent="0.25"/>
  <cols>
    <col min="1" max="1" width="21.7109375" style="1" bestFit="1" customWidth="1"/>
    <col min="2" max="2" width="9.85546875" style="1" bestFit="1" customWidth="1"/>
    <col min="3" max="3" width="19.5703125" style="1" bestFit="1" customWidth="1"/>
    <col min="4" max="5" width="19.42578125" style="1" bestFit="1" customWidth="1"/>
    <col min="6" max="16384" width="3.42578125" style="1"/>
  </cols>
  <sheetData>
    <row r="1" spans="1:4" ht="30" x14ac:dyDescent="0.25">
      <c r="A1" s="57" t="str">
        <f>'POU devices'!A1</f>
        <v>POU Type</v>
      </c>
      <c r="B1" s="58" t="s">
        <v>19</v>
      </c>
    </row>
    <row r="2" spans="1:4" x14ac:dyDescent="0.25">
      <c r="A2" s="59" t="str">
        <f>'POU devices'!A2</f>
        <v>No treatment</v>
      </c>
      <c r="B2" s="60">
        <v>0</v>
      </c>
    </row>
    <row r="3" spans="1:4" x14ac:dyDescent="0.25">
      <c r="A3" s="59" t="str">
        <f>'POU devices'!A4</f>
        <v>Activated Carbon***</v>
      </c>
      <c r="B3" s="61">
        <v>0.95</v>
      </c>
    </row>
    <row r="4" spans="1:4" x14ac:dyDescent="0.25">
      <c r="A4" s="59" t="str">
        <f>'POU devices'!A3</f>
        <v>Reverse Osmosis **</v>
      </c>
      <c r="B4" s="60">
        <v>0.95</v>
      </c>
    </row>
    <row r="5" spans="1:4" ht="15.75" thickBot="1" x14ac:dyDescent="0.3">
      <c r="A5" s="62" t="str">
        <f>'POU devices'!A5</f>
        <v>Distillation****</v>
      </c>
      <c r="B5" s="63">
        <v>0.95</v>
      </c>
    </row>
    <row r="6" spans="1:4" x14ac:dyDescent="0.25">
      <c r="A6" s="9"/>
      <c r="B6" s="10"/>
      <c r="C6" s="10"/>
      <c r="D6" s="10"/>
    </row>
    <row r="8" spans="1:4" ht="105" x14ac:dyDescent="0.25">
      <c r="A8" s="11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ColWidth="8.85546875" defaultRowHeight="15" x14ac:dyDescent="0.25"/>
  <cols>
    <col min="1" max="1" width="34.28515625" customWidth="1"/>
    <col min="2" max="2" width="55.7109375" customWidth="1"/>
    <col min="3" max="3" width="23" bestFit="1" customWidth="1"/>
    <col min="4" max="4" width="14.85546875" bestFit="1" customWidth="1"/>
    <col min="5" max="5" width="22.140625" bestFit="1" customWidth="1"/>
    <col min="6" max="6" width="14.85546875" customWidth="1"/>
    <col min="7" max="7" width="15.85546875" bestFit="1" customWidth="1"/>
    <col min="8" max="8" width="15.85546875" customWidth="1"/>
    <col min="9" max="9" width="25.42578125" customWidth="1"/>
  </cols>
  <sheetData>
    <row r="1" spans="1:5" x14ac:dyDescent="0.25">
      <c r="A1" s="64" t="s">
        <v>18</v>
      </c>
    </row>
    <row r="2" spans="1:5" ht="15.75" thickBot="1" x14ac:dyDescent="0.3">
      <c r="A2" s="65">
        <v>22268.03</v>
      </c>
    </row>
    <row r="3" spans="1:5" x14ac:dyDescent="0.25">
      <c r="A3" t="s">
        <v>72</v>
      </c>
    </row>
    <row r="4" spans="1:5" x14ac:dyDescent="0.25">
      <c r="A4" s="3" t="s">
        <v>73</v>
      </c>
      <c r="B4" s="8"/>
    </row>
    <row r="5" spans="1:5" x14ac:dyDescent="0.25">
      <c r="C5" s="4"/>
    </row>
    <row r="6" spans="1:5" x14ac:dyDescent="0.25">
      <c r="A6" s="12"/>
    </row>
    <row r="8" spans="1:5" x14ac:dyDescent="0.25">
      <c r="D8" s="16"/>
      <c r="E8" s="16"/>
    </row>
    <row r="9" spans="1:5" x14ac:dyDescent="0.25">
      <c r="A9" s="13"/>
      <c r="D9" s="15"/>
      <c r="E9" s="15"/>
    </row>
    <row r="10" spans="1:5" x14ac:dyDescent="0.25">
      <c r="A10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M24" sqref="M24"/>
    </sheetView>
  </sheetViews>
  <sheetFormatPr defaultColWidth="8.85546875" defaultRowHeight="15" x14ac:dyDescent="0.25"/>
  <cols>
    <col min="1" max="2" width="13.85546875" customWidth="1"/>
    <col min="3" max="3" width="12.28515625" style="17" customWidth="1"/>
    <col min="4" max="4" width="17.85546875" style="18" bestFit="1" customWidth="1"/>
    <col min="5" max="5" width="8.140625" bestFit="1" customWidth="1"/>
    <col min="6" max="6" width="23.28515625" bestFit="1" customWidth="1"/>
    <col min="12" max="12" width="9.5703125" bestFit="1" customWidth="1"/>
    <col min="13" max="13" width="26.42578125" bestFit="1" customWidth="1"/>
    <col min="14" max="14" width="4.7109375" style="5" bestFit="1" customWidth="1"/>
    <col min="16" max="16" width="20" bestFit="1" customWidth="1"/>
  </cols>
  <sheetData>
    <row r="1" spans="1:16" x14ac:dyDescent="0.25">
      <c r="A1" s="84" t="s">
        <v>13</v>
      </c>
      <c r="B1" s="80" t="s">
        <v>52</v>
      </c>
      <c r="C1" s="82" t="s">
        <v>29</v>
      </c>
      <c r="D1" s="83" t="s">
        <v>14</v>
      </c>
      <c r="E1" s="13"/>
    </row>
    <row r="2" spans="1:16" x14ac:dyDescent="0.25">
      <c r="A2" s="50">
        <v>0</v>
      </c>
      <c r="B2" s="81">
        <f>A2-1</f>
        <v>-1</v>
      </c>
      <c r="C2" s="82">
        <f>A2*$M$7</f>
        <v>0</v>
      </c>
      <c r="D2" s="83">
        <f>IF(A2&lt;=10,(C2*'IQ costs'!$A$2),(C2*'IQ costs'!$A$2+'IQ costs'!#REF!))</f>
        <v>0</v>
      </c>
      <c r="E2" s="13"/>
      <c r="N2" s="14"/>
    </row>
    <row r="3" spans="1:16" x14ac:dyDescent="0.25">
      <c r="A3" s="50">
        <v>1</v>
      </c>
      <c r="B3" s="81">
        <f t="shared" ref="B3:B42" si="0">A3-1</f>
        <v>0</v>
      </c>
      <c r="C3" s="82">
        <f>B3*$M$7</f>
        <v>0</v>
      </c>
      <c r="D3" s="83">
        <f>C3*'IQ costs'!$A$2</f>
        <v>0</v>
      </c>
      <c r="N3" s="14"/>
    </row>
    <row r="4" spans="1:16" x14ac:dyDescent="0.25">
      <c r="A4" s="50">
        <v>2</v>
      </c>
      <c r="B4" s="81">
        <f t="shared" si="0"/>
        <v>1</v>
      </c>
      <c r="C4" s="82">
        <f t="shared" ref="C4:C13" si="1">B4*$M$7</f>
        <v>0.51315789473684215</v>
      </c>
      <c r="D4" s="83">
        <f>C4*'IQ costs'!$A$2</f>
        <v>11427.015394736842</v>
      </c>
      <c r="N4" s="14"/>
    </row>
    <row r="5" spans="1:16" ht="15.75" thickBot="1" x14ac:dyDescent="0.3">
      <c r="A5" s="50">
        <v>3</v>
      </c>
      <c r="B5" s="81">
        <f t="shared" si="0"/>
        <v>2</v>
      </c>
      <c r="C5" s="82">
        <f t="shared" si="1"/>
        <v>1.0263157894736843</v>
      </c>
      <c r="D5" s="83">
        <f>C5*'IQ costs'!$A$2</f>
        <v>22854.030789473683</v>
      </c>
      <c r="N5" s="14"/>
    </row>
    <row r="6" spans="1:16" x14ac:dyDescent="0.25">
      <c r="A6" s="50">
        <v>4</v>
      </c>
      <c r="B6" s="81">
        <f t="shared" si="0"/>
        <v>3</v>
      </c>
      <c r="C6" s="82">
        <f t="shared" si="1"/>
        <v>1.5394736842105265</v>
      </c>
      <c r="D6" s="83">
        <f>C6*'IQ costs'!$A$2</f>
        <v>34281.046184210529</v>
      </c>
      <c r="L6" s="85" t="s">
        <v>78</v>
      </c>
      <c r="M6" s="88" t="s">
        <v>77</v>
      </c>
      <c r="N6" s="14"/>
    </row>
    <row r="7" spans="1:16" x14ac:dyDescent="0.25">
      <c r="A7" s="50">
        <v>5</v>
      </c>
      <c r="B7" s="81">
        <f t="shared" si="0"/>
        <v>4</v>
      </c>
      <c r="C7" s="82">
        <f t="shared" si="1"/>
        <v>2.0526315789473686</v>
      </c>
      <c r="D7" s="83">
        <f>C7*'IQ costs'!$A$2</f>
        <v>45708.061578947367</v>
      </c>
      <c r="L7" s="86" t="s">
        <v>17</v>
      </c>
      <c r="M7" s="89">
        <f>(3.9/(10-2.4))</f>
        <v>0.51315789473684215</v>
      </c>
      <c r="N7" s="14"/>
    </row>
    <row r="8" spans="1:16" ht="15.75" thickBot="1" x14ac:dyDescent="0.3">
      <c r="A8" s="50">
        <v>6</v>
      </c>
      <c r="B8" s="81">
        <f t="shared" si="0"/>
        <v>5</v>
      </c>
      <c r="C8" s="82">
        <f t="shared" si="1"/>
        <v>2.5657894736842106</v>
      </c>
      <c r="D8" s="83">
        <f>C8*'IQ costs'!$A$2</f>
        <v>57135.076973684212</v>
      </c>
      <c r="L8" s="87" t="s">
        <v>53</v>
      </c>
      <c r="M8" s="90">
        <f>2.57/10</f>
        <v>0.25700000000000001</v>
      </c>
      <c r="N8" s="14"/>
      <c r="P8" s="44"/>
    </row>
    <row r="9" spans="1:16" x14ac:dyDescent="0.25">
      <c r="A9" s="50">
        <v>7</v>
      </c>
      <c r="B9" s="81">
        <f t="shared" si="0"/>
        <v>6</v>
      </c>
      <c r="C9" s="82">
        <f t="shared" si="1"/>
        <v>3.0789473684210531</v>
      </c>
      <c r="D9" s="83">
        <f>C9*'IQ costs'!$A$2</f>
        <v>68562.092368421057</v>
      </c>
      <c r="N9" s="14"/>
    </row>
    <row r="10" spans="1:16" x14ac:dyDescent="0.25">
      <c r="A10" s="50">
        <v>8</v>
      </c>
      <c r="B10" s="81">
        <f t="shared" si="0"/>
        <v>7</v>
      </c>
      <c r="C10" s="82">
        <f t="shared" si="1"/>
        <v>3.5921052631578951</v>
      </c>
      <c r="D10" s="83">
        <f>C10*'IQ costs'!$A$2</f>
        <v>79989.107763157896</v>
      </c>
      <c r="N10" s="14"/>
    </row>
    <row r="11" spans="1:16" x14ac:dyDescent="0.25">
      <c r="A11" s="50">
        <v>9</v>
      </c>
      <c r="B11" s="81">
        <f t="shared" si="0"/>
        <v>8</v>
      </c>
      <c r="C11" s="82">
        <f t="shared" si="1"/>
        <v>4.1052631578947372</v>
      </c>
      <c r="D11" s="83">
        <f>C11*'IQ costs'!$A$2</f>
        <v>91416.123157894734</v>
      </c>
      <c r="N11" s="14"/>
    </row>
    <row r="12" spans="1:16" x14ac:dyDescent="0.25">
      <c r="A12" s="50">
        <v>10</v>
      </c>
      <c r="B12" s="81">
        <f t="shared" si="0"/>
        <v>9</v>
      </c>
      <c r="C12" s="82">
        <f t="shared" si="1"/>
        <v>4.6184210526315796</v>
      </c>
      <c r="D12" s="83">
        <f>C12*'IQ costs'!$A$2</f>
        <v>102843.13855263159</v>
      </c>
      <c r="N12" s="14"/>
    </row>
    <row r="13" spans="1:16" x14ac:dyDescent="0.25">
      <c r="A13" s="50">
        <v>11</v>
      </c>
      <c r="B13" s="81">
        <f t="shared" si="0"/>
        <v>10</v>
      </c>
      <c r="C13" s="82">
        <f t="shared" si="1"/>
        <v>5.1315789473684212</v>
      </c>
      <c r="D13" s="83">
        <f>C13*'IQ costs'!$A$2</f>
        <v>114270.15394736842</v>
      </c>
      <c r="N13" s="14"/>
    </row>
    <row r="14" spans="1:16" x14ac:dyDescent="0.25">
      <c r="A14" s="50">
        <v>12</v>
      </c>
      <c r="B14" s="81">
        <f t="shared" si="0"/>
        <v>11</v>
      </c>
      <c r="C14" s="82">
        <f>(B14*$M$8)+2.82</f>
        <v>5.6470000000000002</v>
      </c>
      <c r="D14" s="83">
        <f>C14*'IQ costs'!$A$2</f>
        <v>125747.56541</v>
      </c>
      <c r="M14" s="5"/>
      <c r="N14" s="14"/>
    </row>
    <row r="15" spans="1:16" x14ac:dyDescent="0.25">
      <c r="A15" s="50">
        <v>13</v>
      </c>
      <c r="B15" s="81">
        <f t="shared" si="0"/>
        <v>12</v>
      </c>
      <c r="C15" s="82">
        <f t="shared" ref="C15:C42" si="2">(B15*$M$8)+2.82</f>
        <v>5.9039999999999999</v>
      </c>
      <c r="D15" s="83">
        <f>C15*'IQ costs'!$A$2</f>
        <v>131470.44912</v>
      </c>
      <c r="N15" s="14"/>
    </row>
    <row r="16" spans="1:16" x14ac:dyDescent="0.25">
      <c r="A16" s="50">
        <v>14</v>
      </c>
      <c r="B16" s="81">
        <f t="shared" si="0"/>
        <v>13</v>
      </c>
      <c r="C16" s="82">
        <f t="shared" si="2"/>
        <v>6.1609999999999996</v>
      </c>
      <c r="D16" s="83">
        <f>C16*'IQ costs'!$A$2</f>
        <v>137193.33282999997</v>
      </c>
      <c r="N16" s="14"/>
    </row>
    <row r="17" spans="1:14" x14ac:dyDescent="0.25">
      <c r="A17" s="50">
        <v>15</v>
      </c>
      <c r="B17" s="81">
        <f t="shared" si="0"/>
        <v>14</v>
      </c>
      <c r="C17" s="82">
        <f t="shared" si="2"/>
        <v>6.4179999999999993</v>
      </c>
      <c r="D17" s="83">
        <f>C17*'IQ costs'!$A$2</f>
        <v>142916.21653999996</v>
      </c>
      <c r="N17" s="14"/>
    </row>
    <row r="18" spans="1:14" x14ac:dyDescent="0.25">
      <c r="A18" s="50">
        <v>16</v>
      </c>
      <c r="B18" s="81">
        <f t="shared" si="0"/>
        <v>15</v>
      </c>
      <c r="C18" s="82">
        <f t="shared" si="2"/>
        <v>6.6749999999999998</v>
      </c>
      <c r="D18" s="83">
        <f>C18*'IQ costs'!$A$2</f>
        <v>148639.10024999999</v>
      </c>
      <c r="N18" s="14"/>
    </row>
    <row r="19" spans="1:14" x14ac:dyDescent="0.25">
      <c r="A19" s="50">
        <v>17</v>
      </c>
      <c r="B19" s="81">
        <f t="shared" si="0"/>
        <v>16</v>
      </c>
      <c r="C19" s="82">
        <f t="shared" si="2"/>
        <v>6.9320000000000004</v>
      </c>
      <c r="D19" s="83">
        <f>C19*'IQ costs'!$A$2</f>
        <v>154361.98396000001</v>
      </c>
      <c r="E19" t="s">
        <v>15</v>
      </c>
      <c r="N19" s="14"/>
    </row>
    <row r="20" spans="1:14" x14ac:dyDescent="0.25">
      <c r="A20" s="50">
        <v>18</v>
      </c>
      <c r="B20" s="81">
        <f t="shared" si="0"/>
        <v>17</v>
      </c>
      <c r="C20" s="82">
        <f t="shared" si="2"/>
        <v>7.1890000000000001</v>
      </c>
      <c r="D20" s="83">
        <f>C20*'IQ costs'!$A$2</f>
        <v>160084.86767000001</v>
      </c>
      <c r="N20" s="14"/>
    </row>
    <row r="21" spans="1:14" x14ac:dyDescent="0.25">
      <c r="A21" s="50">
        <v>19</v>
      </c>
      <c r="B21" s="81">
        <f t="shared" si="0"/>
        <v>18</v>
      </c>
      <c r="C21" s="82">
        <f t="shared" si="2"/>
        <v>7.4459999999999997</v>
      </c>
      <c r="D21" s="83">
        <f>C21*'IQ costs'!$A$2</f>
        <v>165807.75137999997</v>
      </c>
      <c r="N21" s="14"/>
    </row>
    <row r="22" spans="1:14" x14ac:dyDescent="0.25">
      <c r="A22" s="50">
        <v>20</v>
      </c>
      <c r="B22" s="81">
        <f t="shared" si="0"/>
        <v>19</v>
      </c>
      <c r="C22" s="82">
        <f t="shared" si="2"/>
        <v>7.7029999999999994</v>
      </c>
      <c r="D22" s="83">
        <f>C22*'IQ costs'!$A$2</f>
        <v>171530.63508999997</v>
      </c>
      <c r="N22" s="14"/>
    </row>
    <row r="23" spans="1:14" x14ac:dyDescent="0.25">
      <c r="A23" s="50">
        <v>21</v>
      </c>
      <c r="B23" s="81">
        <f t="shared" si="0"/>
        <v>20</v>
      </c>
      <c r="C23" s="82">
        <f t="shared" si="2"/>
        <v>7.9600000000000009</v>
      </c>
      <c r="D23" s="83">
        <f>C23*'IQ costs'!$A$2</f>
        <v>177253.51880000002</v>
      </c>
      <c r="N23" s="14"/>
    </row>
    <row r="24" spans="1:14" x14ac:dyDescent="0.25">
      <c r="A24" s="50">
        <v>22</v>
      </c>
      <c r="B24" s="81">
        <f t="shared" si="0"/>
        <v>21</v>
      </c>
      <c r="C24" s="82">
        <f t="shared" si="2"/>
        <v>8.2170000000000005</v>
      </c>
      <c r="D24" s="83">
        <f>C24*'IQ costs'!$A$2</f>
        <v>182976.40251000001</v>
      </c>
      <c r="N24" s="14"/>
    </row>
    <row r="25" spans="1:14" x14ac:dyDescent="0.25">
      <c r="A25" s="50">
        <v>23</v>
      </c>
      <c r="B25" s="81">
        <f t="shared" si="0"/>
        <v>22</v>
      </c>
      <c r="C25" s="82">
        <f t="shared" si="2"/>
        <v>8.4740000000000002</v>
      </c>
      <c r="D25" s="83">
        <f>C25*'IQ costs'!$A$2</f>
        <v>188699.28622000001</v>
      </c>
      <c r="N25" s="14"/>
    </row>
    <row r="26" spans="1:14" x14ac:dyDescent="0.25">
      <c r="A26" s="50">
        <v>24</v>
      </c>
      <c r="B26" s="81">
        <f t="shared" si="0"/>
        <v>23</v>
      </c>
      <c r="C26" s="82">
        <f t="shared" si="2"/>
        <v>8.7309999999999999</v>
      </c>
      <c r="D26" s="83">
        <f>C26*'IQ costs'!$A$2</f>
        <v>194422.16992999997</v>
      </c>
      <c r="N26" s="14"/>
    </row>
    <row r="27" spans="1:14" x14ac:dyDescent="0.25">
      <c r="A27" s="50">
        <v>25</v>
      </c>
      <c r="B27" s="81">
        <f t="shared" si="0"/>
        <v>24</v>
      </c>
      <c r="C27" s="82">
        <f t="shared" si="2"/>
        <v>8.9879999999999995</v>
      </c>
      <c r="D27" s="83">
        <f>C27*'IQ costs'!$A$2</f>
        <v>200145.05363999997</v>
      </c>
      <c r="N27" s="14"/>
    </row>
    <row r="28" spans="1:14" x14ac:dyDescent="0.25">
      <c r="A28" s="50">
        <v>26</v>
      </c>
      <c r="B28" s="81">
        <f t="shared" si="0"/>
        <v>25</v>
      </c>
      <c r="C28" s="82">
        <f t="shared" si="2"/>
        <v>9.2449999999999992</v>
      </c>
      <c r="D28" s="83">
        <f>C28*'IQ costs'!$A$2</f>
        <v>205867.93734999996</v>
      </c>
      <c r="N28" s="14"/>
    </row>
    <row r="29" spans="1:14" x14ac:dyDescent="0.25">
      <c r="A29" s="50">
        <v>27</v>
      </c>
      <c r="B29" s="81">
        <f t="shared" si="0"/>
        <v>26</v>
      </c>
      <c r="C29" s="82">
        <f t="shared" si="2"/>
        <v>9.5020000000000007</v>
      </c>
      <c r="D29" s="83">
        <f>C29*'IQ costs'!$A$2</f>
        <v>211590.82106000002</v>
      </c>
      <c r="N29" s="14"/>
    </row>
    <row r="30" spans="1:14" x14ac:dyDescent="0.25">
      <c r="A30" s="50">
        <v>28</v>
      </c>
      <c r="B30" s="81">
        <f t="shared" si="0"/>
        <v>27</v>
      </c>
      <c r="C30" s="82">
        <f t="shared" si="2"/>
        <v>9.7590000000000003</v>
      </c>
      <c r="D30" s="83">
        <f>C30*'IQ costs'!$A$2</f>
        <v>217313.70476999998</v>
      </c>
      <c r="N30" s="14"/>
    </row>
    <row r="31" spans="1:14" x14ac:dyDescent="0.25">
      <c r="A31" s="50">
        <v>29</v>
      </c>
      <c r="B31" s="81">
        <f t="shared" si="0"/>
        <v>28</v>
      </c>
      <c r="C31" s="82">
        <f t="shared" si="2"/>
        <v>10.016</v>
      </c>
      <c r="D31" s="83">
        <f>C31*'IQ costs'!$A$2</f>
        <v>223036.58847999998</v>
      </c>
      <c r="N31" s="14"/>
    </row>
    <row r="32" spans="1:14" x14ac:dyDescent="0.25">
      <c r="A32" s="50">
        <v>30</v>
      </c>
      <c r="B32" s="81">
        <f t="shared" si="0"/>
        <v>29</v>
      </c>
      <c r="C32" s="82">
        <f t="shared" si="2"/>
        <v>10.273</v>
      </c>
      <c r="D32" s="83">
        <f>C32*'IQ costs'!$A$2</f>
        <v>228759.47218999997</v>
      </c>
      <c r="N32" s="14"/>
    </row>
    <row r="33" spans="1:14" x14ac:dyDescent="0.25">
      <c r="A33" s="50">
        <v>31</v>
      </c>
      <c r="B33" s="81">
        <f t="shared" si="0"/>
        <v>30</v>
      </c>
      <c r="C33" s="82">
        <f t="shared" si="2"/>
        <v>10.53</v>
      </c>
      <c r="D33" s="83">
        <f>C33*'IQ costs'!$A$2</f>
        <v>234482.35589999997</v>
      </c>
      <c r="N33" s="14"/>
    </row>
    <row r="34" spans="1:14" x14ac:dyDescent="0.25">
      <c r="A34" s="50">
        <v>32</v>
      </c>
      <c r="B34" s="81">
        <f t="shared" si="0"/>
        <v>31</v>
      </c>
      <c r="C34" s="82">
        <f t="shared" si="2"/>
        <v>10.787000000000001</v>
      </c>
      <c r="D34" s="83">
        <f>C34*'IQ costs'!$A$2</f>
        <v>240205.23961000002</v>
      </c>
      <c r="N34" s="14"/>
    </row>
    <row r="35" spans="1:14" x14ac:dyDescent="0.25">
      <c r="A35" s="50">
        <v>33</v>
      </c>
      <c r="B35" s="81">
        <f t="shared" si="0"/>
        <v>32</v>
      </c>
      <c r="C35" s="82">
        <f t="shared" si="2"/>
        <v>11.044</v>
      </c>
      <c r="D35" s="83">
        <f>C35*'IQ costs'!$A$2</f>
        <v>245928.12331999998</v>
      </c>
      <c r="N35" s="14"/>
    </row>
    <row r="36" spans="1:14" x14ac:dyDescent="0.25">
      <c r="A36" s="50">
        <v>34</v>
      </c>
      <c r="B36" s="81">
        <f t="shared" si="0"/>
        <v>33</v>
      </c>
      <c r="C36" s="82">
        <f t="shared" si="2"/>
        <v>11.301</v>
      </c>
      <c r="D36" s="83">
        <f>C36*'IQ costs'!$A$2</f>
        <v>251651.00702999998</v>
      </c>
      <c r="E36" s="15" t="s">
        <v>16</v>
      </c>
      <c r="N36" s="14"/>
    </row>
    <row r="37" spans="1:14" x14ac:dyDescent="0.25">
      <c r="A37" s="50">
        <v>35</v>
      </c>
      <c r="B37" s="81">
        <f t="shared" si="0"/>
        <v>34</v>
      </c>
      <c r="C37" s="82">
        <f t="shared" si="2"/>
        <v>11.558</v>
      </c>
      <c r="D37" s="83">
        <f>C37*'IQ costs'!$A$2</f>
        <v>257373.89073999997</v>
      </c>
      <c r="N37" s="14"/>
    </row>
    <row r="38" spans="1:14" x14ac:dyDescent="0.25">
      <c r="A38" s="50">
        <v>36</v>
      </c>
      <c r="B38" s="81">
        <f t="shared" si="0"/>
        <v>35</v>
      </c>
      <c r="C38" s="82">
        <f t="shared" si="2"/>
        <v>11.815000000000001</v>
      </c>
      <c r="D38" s="83">
        <f>C38*'IQ costs'!$A$2</f>
        <v>263096.77445000003</v>
      </c>
      <c r="N38" s="14"/>
    </row>
    <row r="39" spans="1:14" x14ac:dyDescent="0.25">
      <c r="A39" s="50">
        <v>37</v>
      </c>
      <c r="B39" s="81">
        <f t="shared" si="0"/>
        <v>36</v>
      </c>
      <c r="C39" s="82">
        <f t="shared" si="2"/>
        <v>12.072000000000001</v>
      </c>
      <c r="D39" s="83">
        <f>C39*'IQ costs'!$A$2</f>
        <v>268819.65815999999</v>
      </c>
      <c r="N39" s="14"/>
    </row>
    <row r="40" spans="1:14" x14ac:dyDescent="0.25">
      <c r="A40" s="50">
        <v>38</v>
      </c>
      <c r="B40" s="81">
        <f t="shared" si="0"/>
        <v>37</v>
      </c>
      <c r="C40" s="82">
        <f t="shared" si="2"/>
        <v>12.329000000000001</v>
      </c>
      <c r="D40" s="83">
        <f>C40*'IQ costs'!$A$2</f>
        <v>274542.54187000002</v>
      </c>
      <c r="N40" s="14"/>
    </row>
    <row r="41" spans="1:14" x14ac:dyDescent="0.25">
      <c r="A41" s="50">
        <v>39</v>
      </c>
      <c r="B41" s="81">
        <f t="shared" si="0"/>
        <v>38</v>
      </c>
      <c r="C41" s="82">
        <f t="shared" si="2"/>
        <v>12.586</v>
      </c>
      <c r="D41" s="83">
        <f>C41*'IQ costs'!$A$2</f>
        <v>280265.42557999998</v>
      </c>
      <c r="N41" s="14"/>
    </row>
    <row r="42" spans="1:14" x14ac:dyDescent="0.25">
      <c r="A42" s="50">
        <v>40</v>
      </c>
      <c r="B42" s="81">
        <f t="shared" si="0"/>
        <v>39</v>
      </c>
      <c r="C42" s="82">
        <f t="shared" si="2"/>
        <v>12.843</v>
      </c>
      <c r="D42" s="83">
        <f>C42*'IQ costs'!$A$2</f>
        <v>285988.30929</v>
      </c>
      <c r="N42" s="14"/>
    </row>
    <row r="43" spans="1:14" x14ac:dyDescent="0.25">
      <c r="A43" s="50">
        <v>41</v>
      </c>
      <c r="B43" s="81">
        <f t="shared" ref="B43:B47" si="3">A43-1</f>
        <v>40</v>
      </c>
      <c r="C43" s="82">
        <f t="shared" ref="C43:C47" si="4">(B43*$M$8)+2.82</f>
        <v>13.100000000000001</v>
      </c>
      <c r="D43" s="83">
        <f>C43*'IQ costs'!$A$2</f>
        <v>291711.19300000003</v>
      </c>
    </row>
    <row r="44" spans="1:14" x14ac:dyDescent="0.25">
      <c r="A44" s="50">
        <v>42</v>
      </c>
      <c r="B44" s="81">
        <f t="shared" si="3"/>
        <v>41</v>
      </c>
      <c r="C44" s="82">
        <f t="shared" si="4"/>
        <v>13.357000000000001</v>
      </c>
      <c r="D44" s="83">
        <f>C44*'IQ costs'!$A$2</f>
        <v>297434.07670999999</v>
      </c>
    </row>
    <row r="45" spans="1:14" x14ac:dyDescent="0.25">
      <c r="A45" s="50">
        <v>43</v>
      </c>
      <c r="B45" s="81">
        <f t="shared" si="3"/>
        <v>42</v>
      </c>
      <c r="C45" s="82">
        <f t="shared" si="4"/>
        <v>13.614000000000001</v>
      </c>
      <c r="D45" s="83">
        <f>C45*'IQ costs'!$A$2</f>
        <v>303156.96042000002</v>
      </c>
    </row>
    <row r="46" spans="1:14" x14ac:dyDescent="0.25">
      <c r="A46" s="50">
        <v>44</v>
      </c>
      <c r="B46" s="81">
        <f t="shared" si="3"/>
        <v>43</v>
      </c>
      <c r="C46" s="82">
        <f t="shared" si="4"/>
        <v>13.871</v>
      </c>
      <c r="D46" s="83">
        <f>C46*'IQ costs'!$A$2</f>
        <v>308879.84412999998</v>
      </c>
    </row>
    <row r="47" spans="1:14" x14ac:dyDescent="0.25">
      <c r="A47" s="50">
        <v>45</v>
      </c>
      <c r="B47" s="81">
        <f t="shared" si="3"/>
        <v>44</v>
      </c>
      <c r="C47" s="82">
        <f t="shared" si="4"/>
        <v>14.128</v>
      </c>
      <c r="D47" s="83">
        <f>C47*'IQ costs'!$A$2</f>
        <v>314602.72784000001</v>
      </c>
      <c r="F47" s="4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P19" sqref="P19"/>
    </sheetView>
  </sheetViews>
  <sheetFormatPr defaultColWidth="8.85546875" defaultRowHeight="15" x14ac:dyDescent="0.25"/>
  <cols>
    <col min="1" max="1" width="18.42578125" style="1" customWidth="1"/>
    <col min="2" max="2" width="15.42578125" style="1" bestFit="1" customWidth="1"/>
    <col min="3" max="3" width="11.140625" style="1" bestFit="1" customWidth="1"/>
    <col min="4" max="4" width="15.42578125" style="1" bestFit="1" customWidth="1"/>
    <col min="5" max="5" width="15.42578125" style="1" customWidth="1"/>
    <col min="6" max="6" width="21.28515625" style="1" customWidth="1"/>
    <col min="7" max="7" width="15.140625" style="1" bestFit="1" customWidth="1"/>
    <col min="8" max="8" width="24.28515625" style="1" customWidth="1"/>
    <col min="9" max="9" width="11.42578125" style="1" customWidth="1"/>
    <col min="10" max="10" width="18.42578125" style="1" bestFit="1" customWidth="1"/>
    <col min="11" max="11" width="10.28515625" style="1" bestFit="1" customWidth="1"/>
    <col min="12" max="12" width="21" style="1" bestFit="1" customWidth="1"/>
    <col min="13" max="13" width="17.7109375" style="1" bestFit="1" customWidth="1"/>
    <col min="14" max="16384" width="8.85546875" style="1"/>
  </cols>
  <sheetData>
    <row r="1" spans="1:13" ht="75.75" thickBot="1" x14ac:dyDescent="0.3">
      <c r="A1" s="24" t="str">
        <f>'POU devices'!A1</f>
        <v>POU Type</v>
      </c>
      <c r="B1" s="25" t="s">
        <v>49</v>
      </c>
      <c r="C1" s="26" t="s">
        <v>21</v>
      </c>
      <c r="D1" s="26" t="s">
        <v>50</v>
      </c>
      <c r="E1" s="26" t="s">
        <v>86</v>
      </c>
      <c r="F1" s="26" t="s">
        <v>26</v>
      </c>
      <c r="G1" s="26" t="s">
        <v>28</v>
      </c>
      <c r="H1" s="37" t="s">
        <v>25</v>
      </c>
      <c r="I1" s="26" t="s">
        <v>0</v>
      </c>
      <c r="J1" s="26" t="s">
        <v>24</v>
      </c>
      <c r="K1" s="26" t="s">
        <v>23</v>
      </c>
      <c r="L1" s="72" t="s">
        <v>74</v>
      </c>
      <c r="M1" s="73" t="s">
        <v>31</v>
      </c>
    </row>
    <row r="2" spans="1:13" ht="15.75" thickBot="1" x14ac:dyDescent="0.3">
      <c r="A2" s="69" t="str">
        <f>'POU devices'!A2</f>
        <v>No treatment</v>
      </c>
      <c r="B2" s="97">
        <v>8.75</v>
      </c>
      <c r="C2" s="66">
        <f>'Lead removal'!B2</f>
        <v>0</v>
      </c>
      <c r="D2" s="70">
        <f>B2*(1-C2)</f>
        <v>8.75</v>
      </c>
      <c r="E2" s="96">
        <v>0.5</v>
      </c>
      <c r="F2" s="71">
        <f>(D2*E2)/10</f>
        <v>0.4375</v>
      </c>
      <c r="G2" s="99">
        <f>F2*'IQ loss'!$M$7</f>
        <v>0.22450657894736845</v>
      </c>
      <c r="H2" s="48">
        <f>G2*'IQ costs'!$A$2</f>
        <v>4999.3192351973685</v>
      </c>
      <c r="I2" s="68">
        <f>'POU devices'!B2</f>
        <v>0</v>
      </c>
      <c r="J2" s="68">
        <f>'POU devices'!C2</f>
        <v>0</v>
      </c>
      <c r="K2" s="68">
        <f>'POU devices'!D2</f>
        <v>0</v>
      </c>
      <c r="L2" s="68">
        <f>'POU devices'!F2</f>
        <v>0</v>
      </c>
      <c r="M2" s="74">
        <f>$H$2-(H2+L2)</f>
        <v>0</v>
      </c>
    </row>
    <row r="3" spans="1:13" ht="16.5" thickTop="1" thickBot="1" x14ac:dyDescent="0.3">
      <c r="A3" s="24" t="str">
        <f>'POU devices'!A3</f>
        <v>Reverse Osmosis **</v>
      </c>
      <c r="B3" s="98">
        <f>B2</f>
        <v>8.75</v>
      </c>
      <c r="C3" s="66">
        <f>'Lead removal'!B3</f>
        <v>0.95</v>
      </c>
      <c r="D3" s="67">
        <f t="shared" ref="D3:D5" si="0">B3*(1-C3)</f>
        <v>0.43750000000000039</v>
      </c>
      <c r="E3" s="96">
        <f>E2</f>
        <v>0.5</v>
      </c>
      <c r="F3" s="71">
        <f t="shared" ref="F3:F5" si="1">(D3*E3)/10</f>
        <v>2.1875000000000019E-2</v>
      </c>
      <c r="G3" s="99">
        <f>F3*'IQ loss'!$M$7</f>
        <v>1.1225328947368432E-2</v>
      </c>
      <c r="H3" s="48">
        <f>G3*'IQ costs'!$A$2</f>
        <v>249.96596175986863</v>
      </c>
      <c r="I3" s="68">
        <f>'POU devices'!B3</f>
        <v>317.89</v>
      </c>
      <c r="J3" s="68">
        <f>'POU devices'!C3</f>
        <v>82.5</v>
      </c>
      <c r="K3" s="68">
        <f>'POU devices'!D3</f>
        <v>647.89</v>
      </c>
      <c r="L3" s="68">
        <f>'POU devices'!F3</f>
        <v>3966.2486615618823</v>
      </c>
      <c r="M3" s="75">
        <f t="shared" ref="M3:M5" si="2">$H$2-(H3+L3)</f>
        <v>783.10461187561759</v>
      </c>
    </row>
    <row r="4" spans="1:13" ht="16.5" thickTop="1" thickBot="1" x14ac:dyDescent="0.3">
      <c r="A4" s="24" t="str">
        <f>'POU devices'!A4</f>
        <v>Activated Carbon***</v>
      </c>
      <c r="B4" s="98">
        <f>B2</f>
        <v>8.75</v>
      </c>
      <c r="C4" s="66">
        <f>'Lead removal'!B4</f>
        <v>0.95</v>
      </c>
      <c r="D4" s="67">
        <f t="shared" si="0"/>
        <v>0.43750000000000039</v>
      </c>
      <c r="E4" s="96">
        <f>E2</f>
        <v>0.5</v>
      </c>
      <c r="F4" s="71">
        <f t="shared" si="1"/>
        <v>2.1875000000000019E-2</v>
      </c>
      <c r="G4" s="99">
        <f>F4*'IQ loss'!$M$7</f>
        <v>1.1225328947368432E-2</v>
      </c>
      <c r="H4" s="48">
        <f>G4*'IQ costs'!$A$2</f>
        <v>249.96596175986863</v>
      </c>
      <c r="I4" s="68">
        <f>'POU devices'!B4</f>
        <v>31.79</v>
      </c>
      <c r="J4" s="68">
        <f>'POU devices'!C4</f>
        <v>60.746351400000002</v>
      </c>
      <c r="K4" s="68">
        <f>'POU devices'!D4</f>
        <v>274.7754056</v>
      </c>
      <c r="L4" s="68">
        <f>'POU devices'!F4</f>
        <v>2025.711265031541</v>
      </c>
      <c r="M4" s="75">
        <f t="shared" si="2"/>
        <v>2723.6420084059587</v>
      </c>
    </row>
    <row r="5" spans="1:13" ht="16.5" thickTop="1" thickBot="1" x14ac:dyDescent="0.3">
      <c r="A5" s="24" t="str">
        <f>'POU devices'!A5</f>
        <v>Distillation****</v>
      </c>
      <c r="B5" s="98">
        <f>B2</f>
        <v>8.75</v>
      </c>
      <c r="C5" s="66">
        <f>'Lead removal'!B5</f>
        <v>0.95</v>
      </c>
      <c r="D5" s="67">
        <f t="shared" si="0"/>
        <v>0.43750000000000039</v>
      </c>
      <c r="E5" s="96">
        <f>E2</f>
        <v>0.5</v>
      </c>
      <c r="F5" s="71">
        <f t="shared" si="1"/>
        <v>2.1875000000000019E-2</v>
      </c>
      <c r="G5" s="99">
        <f>F5*'IQ loss'!$M$7</f>
        <v>1.1225328947368432E-2</v>
      </c>
      <c r="H5" s="48">
        <f>G5*'IQ costs'!$A$2</f>
        <v>249.96596175986863</v>
      </c>
      <c r="I5" s="68">
        <f>'POU devices'!B5</f>
        <v>360.28</v>
      </c>
      <c r="J5" s="68">
        <f>'POU devices'!C5</f>
        <v>193</v>
      </c>
      <c r="K5" s="68">
        <f>'POU devices'!D5</f>
        <v>1325.28</v>
      </c>
      <c r="L5" s="68">
        <f>'POU devices'!F5</f>
        <v>6520.2325771699898</v>
      </c>
      <c r="M5" s="76">
        <f t="shared" si="2"/>
        <v>-1770.8793037324904</v>
      </c>
    </row>
    <row r="6" spans="1:13" ht="15.75" thickTop="1" x14ac:dyDescent="0.25">
      <c r="A6" s="27" t="s">
        <v>27</v>
      </c>
      <c r="B6" s="27"/>
      <c r="C6" s="27"/>
      <c r="D6" s="27"/>
      <c r="E6" s="27"/>
      <c r="F6" s="27"/>
      <c r="G6" s="33"/>
      <c r="H6" s="27"/>
      <c r="I6" s="27"/>
      <c r="J6" s="27"/>
      <c r="K6" s="27"/>
      <c r="L6" s="27"/>
      <c r="M6" s="40"/>
    </row>
    <row r="7" spans="1:13" ht="15.75" thickBot="1" x14ac:dyDescent="0.3">
      <c r="A7" s="27"/>
      <c r="B7" s="27"/>
      <c r="C7" s="27"/>
      <c r="D7" s="27"/>
      <c r="E7" s="27"/>
      <c r="F7" s="27"/>
      <c r="G7" s="33"/>
      <c r="H7" s="27"/>
      <c r="I7" s="27"/>
      <c r="J7" s="27"/>
      <c r="K7" s="27"/>
      <c r="L7" s="27"/>
      <c r="M7" s="40"/>
    </row>
    <row r="8" spans="1:13" ht="60" x14ac:dyDescent="0.25">
      <c r="A8" s="24" t="s">
        <v>2</v>
      </c>
      <c r="B8" s="25" t="s">
        <v>49</v>
      </c>
      <c r="C8" s="26" t="s">
        <v>21</v>
      </c>
      <c r="D8" s="26" t="s">
        <v>50</v>
      </c>
      <c r="E8" s="26" t="s">
        <v>86</v>
      </c>
      <c r="F8" s="26" t="s">
        <v>26</v>
      </c>
      <c r="G8" s="26" t="s">
        <v>28</v>
      </c>
      <c r="H8" s="37" t="s">
        <v>25</v>
      </c>
      <c r="I8" s="26" t="s">
        <v>0</v>
      </c>
      <c r="J8" s="26" t="s">
        <v>22</v>
      </c>
      <c r="K8" s="26" t="s">
        <v>12</v>
      </c>
      <c r="L8" s="35" t="s">
        <v>20</v>
      </c>
      <c r="M8" s="36" t="s">
        <v>31</v>
      </c>
    </row>
    <row r="9" spans="1:13" ht="15.75" thickBot="1" x14ac:dyDescent="0.3">
      <c r="A9" s="24" t="str">
        <f>A2</f>
        <v>No treatment</v>
      </c>
      <c r="B9" s="78">
        <v>15</v>
      </c>
      <c r="C9" s="66">
        <f>C2</f>
        <v>0</v>
      </c>
      <c r="D9" s="77">
        <f>B9*(1-C9)</f>
        <v>15</v>
      </c>
      <c r="E9" s="96">
        <v>0.5</v>
      </c>
      <c r="F9" s="71">
        <f>(D9*E9)/10</f>
        <v>0.75</v>
      </c>
      <c r="G9" s="95">
        <f>F9*'IQ loss'!$M$7</f>
        <v>0.38486842105263164</v>
      </c>
      <c r="H9" s="48">
        <f>G9*'IQ costs'!$A$2</f>
        <v>8570.2615460526322</v>
      </c>
      <c r="I9" s="68">
        <f>I2</f>
        <v>0</v>
      </c>
      <c r="J9" s="68">
        <f t="shared" ref="J9:L9" si="3">J2</f>
        <v>0</v>
      </c>
      <c r="K9" s="68">
        <f t="shared" si="3"/>
        <v>0</v>
      </c>
      <c r="L9" s="68">
        <f t="shared" si="3"/>
        <v>0</v>
      </c>
      <c r="M9" s="75">
        <f>$H$9-(H9+L9)</f>
        <v>0</v>
      </c>
    </row>
    <row r="10" spans="1:13" ht="16.5" thickTop="1" thickBot="1" x14ac:dyDescent="0.3">
      <c r="A10" s="24" t="str">
        <f>A3</f>
        <v>Reverse Osmosis **</v>
      </c>
      <c r="B10" s="78">
        <f>B9</f>
        <v>15</v>
      </c>
      <c r="C10" s="66">
        <f t="shared" ref="C10:C12" si="4">C3</f>
        <v>0.95</v>
      </c>
      <c r="D10" s="77">
        <f t="shared" ref="D10:D12" si="5">B10*(1-C10)</f>
        <v>0.75000000000000067</v>
      </c>
      <c r="E10" s="96">
        <f>E9</f>
        <v>0.5</v>
      </c>
      <c r="F10" s="71">
        <f t="shared" ref="F10:F12" si="6">(D10*E10)/10</f>
        <v>3.7500000000000033E-2</v>
      </c>
      <c r="G10" s="95">
        <f>F10*'IQ loss'!$M$7</f>
        <v>1.9243421052631597E-2</v>
      </c>
      <c r="H10" s="48">
        <f>G10*'IQ costs'!$A$2</f>
        <v>428.51307730263198</v>
      </c>
      <c r="I10" s="68">
        <f>I3</f>
        <v>317.89</v>
      </c>
      <c r="J10" s="68">
        <f t="shared" ref="J10:L10" si="7">J3</f>
        <v>82.5</v>
      </c>
      <c r="K10" s="68">
        <f t="shared" si="7"/>
        <v>647.89</v>
      </c>
      <c r="L10" s="68">
        <f t="shared" si="7"/>
        <v>3966.2486615618823</v>
      </c>
      <c r="M10" s="75">
        <f t="shared" ref="M10:M12" si="8">$H$9-(H10+L10)</f>
        <v>4175.4998071881182</v>
      </c>
    </row>
    <row r="11" spans="1:13" ht="16.5" thickTop="1" thickBot="1" x14ac:dyDescent="0.3">
      <c r="A11" s="24" t="str">
        <f>A4</f>
        <v>Activated Carbon***</v>
      </c>
      <c r="B11" s="78">
        <f>B9</f>
        <v>15</v>
      </c>
      <c r="C11" s="66">
        <f t="shared" si="4"/>
        <v>0.95</v>
      </c>
      <c r="D11" s="77">
        <f t="shared" si="5"/>
        <v>0.75000000000000067</v>
      </c>
      <c r="E11" s="96">
        <f>E9</f>
        <v>0.5</v>
      </c>
      <c r="F11" s="71">
        <f t="shared" si="6"/>
        <v>3.7500000000000033E-2</v>
      </c>
      <c r="G11" s="95">
        <f>F11*'IQ loss'!$M$7</f>
        <v>1.9243421052631597E-2</v>
      </c>
      <c r="H11" s="48">
        <f>G11*'IQ costs'!$A$2</f>
        <v>428.51307730263198</v>
      </c>
      <c r="I11" s="68">
        <f>I4</f>
        <v>31.79</v>
      </c>
      <c r="J11" s="68">
        <f t="shared" ref="J11:L11" si="9">J4</f>
        <v>60.746351400000002</v>
      </c>
      <c r="K11" s="68">
        <f t="shared" si="9"/>
        <v>274.7754056</v>
      </c>
      <c r="L11" s="68">
        <f t="shared" si="9"/>
        <v>2025.711265031541</v>
      </c>
      <c r="M11" s="75">
        <f t="shared" si="8"/>
        <v>6116.0372037184588</v>
      </c>
    </row>
    <row r="12" spans="1:13" ht="16.5" thickTop="1" thickBot="1" x14ac:dyDescent="0.3">
      <c r="A12" s="24" t="str">
        <f>A5</f>
        <v>Distillation****</v>
      </c>
      <c r="B12" s="78">
        <f>B9</f>
        <v>15</v>
      </c>
      <c r="C12" s="66">
        <f t="shared" si="4"/>
        <v>0.95</v>
      </c>
      <c r="D12" s="77">
        <f t="shared" si="5"/>
        <v>0.75000000000000067</v>
      </c>
      <c r="E12" s="96">
        <f>E9</f>
        <v>0.5</v>
      </c>
      <c r="F12" s="71">
        <f t="shared" si="6"/>
        <v>3.7500000000000033E-2</v>
      </c>
      <c r="G12" s="95">
        <f>F12*'IQ loss'!$M$7</f>
        <v>1.9243421052631597E-2</v>
      </c>
      <c r="H12" s="48">
        <f>G12*'IQ costs'!$A$2</f>
        <v>428.51307730263198</v>
      </c>
      <c r="I12" s="68">
        <f>I5</f>
        <v>360.28</v>
      </c>
      <c r="J12" s="68">
        <f t="shared" ref="J12:L12" si="10">J5</f>
        <v>193</v>
      </c>
      <c r="K12" s="68">
        <f t="shared" si="10"/>
        <v>1325.28</v>
      </c>
      <c r="L12" s="68">
        <f t="shared" si="10"/>
        <v>6520.2325771699898</v>
      </c>
      <c r="M12" s="76">
        <f t="shared" si="8"/>
        <v>1621.5158915800102</v>
      </c>
    </row>
    <row r="13" spans="1:13" ht="15.75" thickTop="1" x14ac:dyDescent="0.25">
      <c r="A13" s="27" t="s">
        <v>27</v>
      </c>
      <c r="B13" s="27"/>
      <c r="C13" s="28"/>
      <c r="D13" s="29"/>
      <c r="E13" s="29"/>
      <c r="F13" s="29"/>
      <c r="G13" s="34"/>
      <c r="H13" s="29"/>
      <c r="I13" s="30"/>
      <c r="J13" s="30"/>
      <c r="K13" s="31"/>
      <c r="L13" s="31"/>
      <c r="M13" s="40"/>
    </row>
    <row r="14" spans="1:13" ht="15.75" thickBot="1" x14ac:dyDescent="0.3">
      <c r="A14" s="32"/>
      <c r="B14" s="32"/>
      <c r="C14" s="28"/>
      <c r="D14" s="29"/>
      <c r="E14" s="29"/>
      <c r="F14" s="29"/>
      <c r="G14" s="34"/>
      <c r="H14" s="29"/>
      <c r="I14" s="30"/>
      <c r="J14" s="30"/>
      <c r="K14" s="31"/>
      <c r="L14" s="31"/>
      <c r="M14" s="40"/>
    </row>
    <row r="15" spans="1:13" ht="60" x14ac:dyDescent="0.25">
      <c r="A15" s="24" t="s">
        <v>2</v>
      </c>
      <c r="B15" s="25" t="s">
        <v>49</v>
      </c>
      <c r="C15" s="26" t="s">
        <v>21</v>
      </c>
      <c r="D15" s="26" t="s">
        <v>50</v>
      </c>
      <c r="E15" s="26" t="s">
        <v>86</v>
      </c>
      <c r="F15" s="26" t="s">
        <v>26</v>
      </c>
      <c r="G15" s="26" t="s">
        <v>28</v>
      </c>
      <c r="H15" s="37" t="s">
        <v>25</v>
      </c>
      <c r="I15" s="26" t="s">
        <v>0</v>
      </c>
      <c r="J15" s="26" t="s">
        <v>22</v>
      </c>
      <c r="K15" s="26" t="s">
        <v>12</v>
      </c>
      <c r="L15" s="35" t="s">
        <v>20</v>
      </c>
      <c r="M15" s="36" t="s">
        <v>31</v>
      </c>
    </row>
    <row r="16" spans="1:13" ht="15.75" thickBot="1" x14ac:dyDescent="0.3">
      <c r="A16" s="24" t="s">
        <v>1</v>
      </c>
      <c r="B16" s="78">
        <v>150</v>
      </c>
      <c r="C16" s="66">
        <f>C2</f>
        <v>0</v>
      </c>
      <c r="D16" s="77">
        <f>B16*(1-C16)</f>
        <v>150</v>
      </c>
      <c r="E16" s="96">
        <v>0.5</v>
      </c>
      <c r="F16" s="71">
        <f>(D16*E16)/10</f>
        <v>7.5</v>
      </c>
      <c r="G16" s="79">
        <f>F16*'IQ loss'!$M$7</f>
        <v>3.8486842105263159</v>
      </c>
      <c r="H16" s="48">
        <f>G16*'IQ costs'!$A$2</f>
        <v>85702.615460526315</v>
      </c>
      <c r="I16" s="68">
        <f>I2</f>
        <v>0</v>
      </c>
      <c r="J16" s="68">
        <f t="shared" ref="J16:L16" si="11">J2</f>
        <v>0</v>
      </c>
      <c r="K16" s="68">
        <f t="shared" si="11"/>
        <v>0</v>
      </c>
      <c r="L16" s="68">
        <f t="shared" si="11"/>
        <v>0</v>
      </c>
      <c r="M16" s="75">
        <f>$H$16-(H16+L16)</f>
        <v>0</v>
      </c>
    </row>
    <row r="17" spans="1:13" ht="16.5" thickTop="1" thickBot="1" x14ac:dyDescent="0.3">
      <c r="A17" s="24" t="s">
        <v>6</v>
      </c>
      <c r="B17" s="78">
        <f>B16</f>
        <v>150</v>
      </c>
      <c r="C17" s="66">
        <f t="shared" ref="C17:C19" si="12">C3</f>
        <v>0.95</v>
      </c>
      <c r="D17" s="77">
        <f t="shared" ref="D17:D19" si="13">B17*(1-C17)</f>
        <v>7.5000000000000071</v>
      </c>
      <c r="E17" s="96">
        <f>E16</f>
        <v>0.5</v>
      </c>
      <c r="F17" s="71">
        <f t="shared" ref="F17:F19" si="14">(D17*E17)/10</f>
        <v>0.37500000000000033</v>
      </c>
      <c r="G17" s="79">
        <f>F17*'IQ loss'!$M$7</f>
        <v>0.19243421052631599</v>
      </c>
      <c r="H17" s="48">
        <f>G17*'IQ costs'!$A$2</f>
        <v>4285.1307730263197</v>
      </c>
      <c r="I17" s="68">
        <f>I3</f>
        <v>317.89</v>
      </c>
      <c r="J17" s="68">
        <f t="shared" ref="J17:L17" si="15">J3</f>
        <v>82.5</v>
      </c>
      <c r="K17" s="68">
        <f t="shared" si="15"/>
        <v>647.89</v>
      </c>
      <c r="L17" s="68">
        <f t="shared" si="15"/>
        <v>3966.2486615618823</v>
      </c>
      <c r="M17" s="75">
        <f t="shared" ref="M17:M19" si="16">$H$16-(H17+L17)</f>
        <v>77451.236025938109</v>
      </c>
    </row>
    <row r="18" spans="1:13" ht="16.5" thickTop="1" thickBot="1" x14ac:dyDescent="0.3">
      <c r="A18" s="24" t="s">
        <v>8</v>
      </c>
      <c r="B18" s="78">
        <f>B16</f>
        <v>150</v>
      </c>
      <c r="C18" s="66">
        <f t="shared" si="12"/>
        <v>0.95</v>
      </c>
      <c r="D18" s="77">
        <f t="shared" si="13"/>
        <v>7.5000000000000071</v>
      </c>
      <c r="E18" s="96">
        <f>E16</f>
        <v>0.5</v>
      </c>
      <c r="F18" s="71">
        <f t="shared" si="14"/>
        <v>0.37500000000000033</v>
      </c>
      <c r="G18" s="79">
        <f>F18*'IQ loss'!$M$7</f>
        <v>0.19243421052631599</v>
      </c>
      <c r="H18" s="48">
        <f>G18*'IQ costs'!$A$2</f>
        <v>4285.1307730263197</v>
      </c>
      <c r="I18" s="68">
        <f>I4</f>
        <v>31.79</v>
      </c>
      <c r="J18" s="68">
        <f t="shared" ref="J18:L18" si="17">J4</f>
        <v>60.746351400000002</v>
      </c>
      <c r="K18" s="68">
        <f t="shared" si="17"/>
        <v>274.7754056</v>
      </c>
      <c r="L18" s="68">
        <f t="shared" si="17"/>
        <v>2025.711265031541</v>
      </c>
      <c r="M18" s="75">
        <f t="shared" si="16"/>
        <v>79391.773422468454</v>
      </c>
    </row>
    <row r="19" spans="1:13" ht="16.5" thickTop="1" thickBot="1" x14ac:dyDescent="0.3">
      <c r="A19" s="24" t="s">
        <v>7</v>
      </c>
      <c r="B19" s="78">
        <f>B16</f>
        <v>150</v>
      </c>
      <c r="C19" s="66">
        <f t="shared" si="12"/>
        <v>0.95</v>
      </c>
      <c r="D19" s="77">
        <f t="shared" si="13"/>
        <v>7.5000000000000071</v>
      </c>
      <c r="E19" s="96">
        <f>E16</f>
        <v>0.5</v>
      </c>
      <c r="F19" s="71">
        <f t="shared" si="14"/>
        <v>0.37500000000000033</v>
      </c>
      <c r="G19" s="79">
        <f>F19*'IQ loss'!$M$7</f>
        <v>0.19243421052631599</v>
      </c>
      <c r="H19" s="48">
        <f>G19*'IQ costs'!$A$2</f>
        <v>4285.1307730263197</v>
      </c>
      <c r="I19" s="68">
        <f>I5</f>
        <v>360.28</v>
      </c>
      <c r="J19" s="68">
        <f t="shared" ref="J19:L19" si="18">J5</f>
        <v>193</v>
      </c>
      <c r="K19" s="68">
        <f t="shared" si="18"/>
        <v>1325.28</v>
      </c>
      <c r="L19" s="68">
        <f t="shared" si="18"/>
        <v>6520.2325771699898</v>
      </c>
      <c r="M19" s="76">
        <f t="shared" si="16"/>
        <v>74897.25211033001</v>
      </c>
    </row>
    <row r="20" spans="1:13" ht="60.75" thickTop="1" x14ac:dyDescent="0.25">
      <c r="A20" s="27" t="s">
        <v>27</v>
      </c>
      <c r="B20" s="7"/>
      <c r="C20" s="19"/>
      <c r="D20" s="20"/>
      <c r="E20" s="20"/>
      <c r="F20" s="20"/>
      <c r="G20" s="20"/>
      <c r="H20" s="20"/>
      <c r="I20" s="21"/>
      <c r="J20" s="21"/>
      <c r="K20" s="22"/>
      <c r="L20" s="22"/>
      <c r="M20" s="41" t="s">
        <v>32</v>
      </c>
    </row>
    <row r="21" spans="1:13" x14ac:dyDescent="0.25">
      <c r="H21" s="23"/>
      <c r="I21" s="23"/>
    </row>
    <row r="22" spans="1:13" x14ac:dyDescent="0.25">
      <c r="I22" s="23"/>
    </row>
    <row r="23" spans="1:13" x14ac:dyDescent="0.25">
      <c r="B23" s="39"/>
      <c r="H23" s="38"/>
      <c r="I23" s="23"/>
      <c r="J23" s="23"/>
    </row>
    <row r="24" spans="1:13" x14ac:dyDescent="0.25">
      <c r="I24" s="23"/>
    </row>
    <row r="25" spans="1:13" x14ac:dyDescent="0.25">
      <c r="I25" s="23"/>
    </row>
  </sheetData>
  <pageMargins left="0.7" right="0.7" top="0.75" bottom="0.75" header="0.3" footer="0.3"/>
  <pageSetup scale="5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6" workbookViewId="0">
      <selection activeCell="B10" sqref="B10"/>
    </sheetView>
  </sheetViews>
  <sheetFormatPr defaultColWidth="8.85546875" defaultRowHeight="15" x14ac:dyDescent="0.25"/>
  <cols>
    <col min="1" max="1" width="35" bestFit="1" customWidth="1"/>
    <col min="2" max="2" width="16.140625" bestFit="1" customWidth="1"/>
    <col min="3" max="3" width="10.5703125" bestFit="1" customWidth="1"/>
    <col min="4" max="4" width="40.42578125" bestFit="1" customWidth="1"/>
    <col min="6" max="6" width="16.140625" bestFit="1" customWidth="1"/>
    <col min="7" max="7" width="11" bestFit="1" customWidth="1"/>
    <col min="8" max="8" width="14.7109375" customWidth="1"/>
    <col min="9" max="9" width="13.7109375" customWidth="1"/>
    <col min="10" max="10" width="11.85546875" bestFit="1" customWidth="1"/>
    <col min="14" max="14" width="35" bestFit="1" customWidth="1"/>
    <col min="15" max="15" width="16.28515625" bestFit="1" customWidth="1"/>
    <col min="16" max="16" width="12" bestFit="1" customWidth="1"/>
    <col min="17" max="17" width="40.42578125" bestFit="1" customWidth="1"/>
  </cols>
  <sheetData>
    <row r="1" spans="1:6" x14ac:dyDescent="0.25">
      <c r="A1" s="91" t="s">
        <v>37</v>
      </c>
      <c r="B1" s="92" t="s">
        <v>35</v>
      </c>
      <c r="C1" s="92" t="s">
        <v>36</v>
      </c>
      <c r="D1" s="91" t="s">
        <v>80</v>
      </c>
    </row>
    <row r="2" spans="1:6" x14ac:dyDescent="0.25">
      <c r="A2" s="6" t="s">
        <v>34</v>
      </c>
      <c r="B2" s="93">
        <v>98310</v>
      </c>
      <c r="C2" s="93" t="s">
        <v>79</v>
      </c>
      <c r="D2" s="6" t="s">
        <v>83</v>
      </c>
    </row>
    <row r="3" spans="1:6" x14ac:dyDescent="0.25">
      <c r="A3" s="6" t="s">
        <v>82</v>
      </c>
      <c r="B3" s="93">
        <v>2.42</v>
      </c>
      <c r="C3" s="93" t="s">
        <v>79</v>
      </c>
      <c r="D3" s="6" t="s">
        <v>83</v>
      </c>
    </row>
    <row r="4" spans="1:6" x14ac:dyDescent="0.25">
      <c r="A4" s="6" t="s">
        <v>38</v>
      </c>
      <c r="B4" s="93">
        <v>25</v>
      </c>
      <c r="C4" s="93" t="s">
        <v>33</v>
      </c>
      <c r="D4" s="6"/>
    </row>
    <row r="5" spans="1:6" x14ac:dyDescent="0.25">
      <c r="A5" s="6" t="s">
        <v>39</v>
      </c>
      <c r="B5" s="93">
        <f>(B4*0.2)/10</f>
        <v>0.5</v>
      </c>
      <c r="C5" s="93" t="s">
        <v>40</v>
      </c>
      <c r="D5" s="6" t="s">
        <v>91</v>
      </c>
    </row>
    <row r="6" spans="1:6" x14ac:dyDescent="0.25">
      <c r="A6" s="6" t="s">
        <v>41</v>
      </c>
      <c r="B6" s="93">
        <v>0.25659999999999999</v>
      </c>
      <c r="C6" s="93"/>
      <c r="D6" s="6" t="s">
        <v>81</v>
      </c>
    </row>
    <row r="7" spans="1:6" x14ac:dyDescent="0.25">
      <c r="A7" s="6" t="s">
        <v>42</v>
      </c>
      <c r="B7" s="94">
        <v>5714</v>
      </c>
      <c r="C7" s="93" t="s">
        <v>43</v>
      </c>
      <c r="D7" s="6" t="s">
        <v>81</v>
      </c>
    </row>
    <row r="8" spans="1:6" x14ac:dyDescent="0.25">
      <c r="A8" s="6" t="s">
        <v>44</v>
      </c>
      <c r="B8" s="94">
        <f>B7*B2</f>
        <v>561743340</v>
      </c>
      <c r="C8" s="93"/>
      <c r="D8" s="6"/>
    </row>
    <row r="9" spans="1:6" x14ac:dyDescent="0.25">
      <c r="A9" s="6"/>
      <c r="B9" s="93"/>
      <c r="C9" s="93"/>
      <c r="D9" s="6"/>
    </row>
    <row r="10" spans="1:6" x14ac:dyDescent="0.25">
      <c r="A10" s="6" t="s">
        <v>45</v>
      </c>
      <c r="B10" s="94">
        <f>'POU devices'!D5</f>
        <v>1325.28</v>
      </c>
      <c r="C10" s="93" t="s">
        <v>46</v>
      </c>
      <c r="D10" s="6" t="s">
        <v>92</v>
      </c>
    </row>
    <row r="11" spans="1:6" x14ac:dyDescent="0.25">
      <c r="A11" s="6" t="s">
        <v>47</v>
      </c>
      <c r="B11" s="94">
        <f>B10*B2</f>
        <v>130288276.8</v>
      </c>
      <c r="C11" s="93"/>
      <c r="D11" s="6" t="s">
        <v>84</v>
      </c>
    </row>
    <row r="12" spans="1:6" x14ac:dyDescent="0.25">
      <c r="A12" s="6" t="s">
        <v>48</v>
      </c>
      <c r="B12" s="94">
        <f>(B2/B3)*B10</f>
        <v>53838130.909090914</v>
      </c>
      <c r="C12" s="93"/>
      <c r="D12" s="6" t="s">
        <v>85</v>
      </c>
      <c r="F12" s="1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POU devices</vt:lpstr>
      <vt:lpstr>Inflation-Adjusted Discounted </vt:lpstr>
      <vt:lpstr>Lead removal</vt:lpstr>
      <vt:lpstr>IQ costs</vt:lpstr>
      <vt:lpstr>IQ loss</vt:lpstr>
      <vt:lpstr>Lead CB</vt:lpstr>
      <vt:lpstr>Flint</vt:lpstr>
      <vt:lpstr>'Lead CB'!Print_Area</vt:lpstr>
    </vt:vector>
  </TitlesOfParts>
  <Company>The University of Arizona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Verhougstraete</dc:creator>
  <cp:lastModifiedBy>Marc Verhougstraete</cp:lastModifiedBy>
  <cp:lastPrinted>2016-09-23T16:36:46Z</cp:lastPrinted>
  <dcterms:created xsi:type="dcterms:W3CDTF">2015-06-15T19:41:03Z</dcterms:created>
  <dcterms:modified xsi:type="dcterms:W3CDTF">2018-11-28T20:08:38Z</dcterms:modified>
</cp:coreProperties>
</file>